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LM-04\bdpub\2024_Budget Cycle\FY 2024_Congressional\Errata\Updated Files\3_Final\"/>
    </mc:Choice>
  </mc:AlternateContent>
  <xr:revisionPtr revIDLastSave="0" documentId="13_ncr:1_{9487D022-0411-40E4-981D-636E122E545C}" xr6:coauthVersionLast="47" xr6:coauthVersionMax="47" xr10:uidLastSave="{00000000-0000-0000-0000-000000000000}"/>
  <bookViews>
    <workbookView xWindow="14175" yWindow="-16320" windowWidth="29040" windowHeight="15840" tabRatio="779" firstSheet="8" activeTab="8" xr2:uid="{32923E44-55E8-4559-A97C-749320F6C6BF}"/>
  </bookViews>
  <sheets>
    <sheet name="1-19 Update Summary" sheetId="39" state="hidden" r:id="rId1"/>
    <sheet name="1-20 Update Summary" sheetId="41" state="hidden" r:id="rId2"/>
    <sheet name="Fellows Option" sheetId="40" state="hidden" r:id="rId3"/>
    <sheet name="Dir. Strat. Initiatives" sheetId="36" state="hidden" r:id="rId4"/>
    <sheet name="Other Cong. Direction" sheetId="22" state="hidden" r:id="rId5"/>
    <sheet name="RSSP R&amp;RA Detail" sheetId="24" state="hidden" r:id="rId6"/>
    <sheet name="GRFP Detail" sheetId="25" state="hidden" r:id="rId7"/>
    <sheet name="AOAM Detail" sheetId="15" state="hidden" r:id="rId8"/>
    <sheet name="Admin Priorities" sheetId="52" r:id="rId9"/>
    <sheet name="BP - FY23 structure_Beth" sheetId="49" state="hidden" r:id="rId10"/>
    <sheet name="BP - FY24 structure " sheetId="45" state="hidden" r:id="rId11"/>
    <sheet name="EI tables_OLD" sheetId="30" state="hidden" r:id="rId12"/>
    <sheet name="EDU Cong. Direction" sheetId="12" state="hidden" r:id="rId13"/>
    <sheet name="R&amp;RA pots" sheetId="28" state="hidden" r:id="rId14"/>
    <sheet name="Transfer Thresholds" sheetId="17" state="hidden" r:id="rId15"/>
    <sheet name="EPSCoR Thoughts" sheetId="27" state="hidden" r:id="rId16"/>
    <sheet name="OS questions 12.30" sheetId="31" state="hidden" r:id="rId17"/>
    <sheet name="Full-year CR" sheetId="14" state="hidden" r:id="rId18"/>
    <sheet name="+4% Scenario" sheetId="1" state="hidden" r:id="rId19"/>
    <sheet name="Resources" sheetId="18" state="hidden" r:id="rId20"/>
    <sheet name="IA Detail" sheetId="5" state="hidden" r:id="rId21"/>
    <sheet name="High Level" sheetId="4" state="hidden" r:id="rId22"/>
    <sheet name="2022 CONG 2022 Actual" sheetId="19" state="hidden" r:id="rId23"/>
    <sheet name="2022 CONG 2022 CP" sheetId="2" state="hidden" r:id="rId24"/>
    <sheet name="2023 CONG 2023 Req." sheetId="20" state="hidden" r:id="rId25"/>
    <sheet name="2024 OMB 2023 Req." sheetId="3" state="hidden" r:id="rId26"/>
  </sheets>
  <definedNames>
    <definedName name="_xlnm._FilterDatabase" localSheetId="4" hidden="1">'Other Cong. Direction'!$A$5:$S$5</definedName>
    <definedName name="_xlnm.Print_Area" localSheetId="0">'1-19 Update Summary'!$A$1:$C$14</definedName>
    <definedName name="_xlnm.Print_Area" localSheetId="1">'1-20 Update Summary'!$A$1:$C$19</definedName>
    <definedName name="_xlnm.Print_Area" localSheetId="2">'Fellows Option'!$A$1:$I$24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7" i="52" l="1"/>
  <c r="Q77" i="52" s="1"/>
  <c r="S99" i="52"/>
  <c r="R99" i="52"/>
  <c r="R98" i="52"/>
  <c r="S98" i="52" s="1"/>
  <c r="S97" i="52"/>
  <c r="R97" i="52"/>
  <c r="R96" i="52"/>
  <c r="S96" i="52" s="1"/>
  <c r="S95" i="52"/>
  <c r="R95" i="52"/>
  <c r="R94" i="52"/>
  <c r="S94" i="52" s="1"/>
  <c r="S93" i="52"/>
  <c r="R93" i="52"/>
  <c r="R92" i="52"/>
  <c r="S92" i="52" s="1"/>
  <c r="S91" i="52"/>
  <c r="R91" i="52"/>
  <c r="R90" i="52"/>
  <c r="S90" i="52" s="1"/>
  <c r="S89" i="52"/>
  <c r="R89" i="52"/>
  <c r="R88" i="52"/>
  <c r="S88" i="52" s="1"/>
  <c r="H99" i="52"/>
  <c r="I99" i="52" s="1"/>
  <c r="H98" i="52"/>
  <c r="I98" i="52" s="1"/>
  <c r="H97" i="52"/>
  <c r="I97" i="52" s="1"/>
  <c r="H96" i="52"/>
  <c r="I96" i="52" s="1"/>
  <c r="H95" i="52"/>
  <c r="I95" i="52" s="1"/>
  <c r="H94" i="52"/>
  <c r="I94" i="52" s="1"/>
  <c r="H93" i="52"/>
  <c r="I93" i="52" s="1"/>
  <c r="H92" i="52"/>
  <c r="I92" i="52" s="1"/>
  <c r="H91" i="52"/>
  <c r="I91" i="52" s="1"/>
  <c r="H90" i="52"/>
  <c r="I90" i="52" s="1"/>
  <c r="H89" i="52"/>
  <c r="I89" i="52" s="1"/>
  <c r="H88" i="52"/>
  <c r="I88" i="52" s="1"/>
  <c r="R78" i="52"/>
  <c r="S78" i="52" s="1"/>
  <c r="R76" i="52"/>
  <c r="S76" i="52" s="1"/>
  <c r="R75" i="52"/>
  <c r="S75" i="52" s="1"/>
  <c r="S74" i="52"/>
  <c r="R74" i="52"/>
  <c r="S73" i="52"/>
  <c r="R73" i="52"/>
  <c r="R72" i="52"/>
  <c r="S72" i="52" s="1"/>
  <c r="R71" i="52"/>
  <c r="S71" i="52" s="1"/>
  <c r="S70" i="52"/>
  <c r="R70" i="52"/>
  <c r="S69" i="52"/>
  <c r="R69" i="52"/>
  <c r="R68" i="52"/>
  <c r="S68" i="52" s="1"/>
  <c r="F78" i="52"/>
  <c r="H79" i="52"/>
  <c r="I79" i="52" s="1"/>
  <c r="H78" i="52"/>
  <c r="I78" i="52" s="1"/>
  <c r="H77" i="52"/>
  <c r="I77" i="52" s="1"/>
  <c r="I76" i="52"/>
  <c r="H76" i="52"/>
  <c r="H75" i="52"/>
  <c r="I75" i="52" s="1"/>
  <c r="H74" i="52"/>
  <c r="I74" i="52" s="1"/>
  <c r="H73" i="52"/>
  <c r="I73" i="52" s="1"/>
  <c r="I72" i="52"/>
  <c r="H72" i="52"/>
  <c r="H71" i="52"/>
  <c r="I71" i="52" s="1"/>
  <c r="H70" i="52"/>
  <c r="I70" i="52" s="1"/>
  <c r="H69" i="52"/>
  <c r="I69" i="52" s="1"/>
  <c r="I68" i="52"/>
  <c r="H68" i="52"/>
  <c r="S60" i="52"/>
  <c r="R60" i="52"/>
  <c r="S59" i="52"/>
  <c r="R59" i="52"/>
  <c r="R58" i="52"/>
  <c r="S58" i="52" s="1"/>
  <c r="S57" i="52"/>
  <c r="R57" i="52"/>
  <c r="S56" i="52"/>
  <c r="R56" i="52"/>
  <c r="S55" i="52"/>
  <c r="R55" i="52"/>
  <c r="R54" i="52"/>
  <c r="S54" i="52" s="1"/>
  <c r="S53" i="52"/>
  <c r="R53" i="52"/>
  <c r="S52" i="52"/>
  <c r="R52" i="52"/>
  <c r="S51" i="52"/>
  <c r="R51" i="52"/>
  <c r="R50" i="52"/>
  <c r="S50" i="52" s="1"/>
  <c r="S49" i="52"/>
  <c r="R49" i="52"/>
  <c r="I60" i="52"/>
  <c r="H60" i="52"/>
  <c r="H59" i="52"/>
  <c r="I59" i="52" s="1"/>
  <c r="I58" i="52"/>
  <c r="H58" i="52"/>
  <c r="H57" i="52"/>
  <c r="I57" i="52" s="1"/>
  <c r="I56" i="52"/>
  <c r="H56" i="52"/>
  <c r="H55" i="52"/>
  <c r="I55" i="52" s="1"/>
  <c r="I54" i="52"/>
  <c r="H54" i="52"/>
  <c r="H53" i="52"/>
  <c r="I53" i="52" s="1"/>
  <c r="I52" i="52"/>
  <c r="H52" i="52"/>
  <c r="H51" i="52"/>
  <c r="I51" i="52" s="1"/>
  <c r="I50" i="52"/>
  <c r="H50" i="52"/>
  <c r="H49" i="52"/>
  <c r="I49" i="52" s="1"/>
  <c r="Q58" i="52"/>
  <c r="P58" i="52"/>
  <c r="O58" i="52"/>
  <c r="N58" i="52"/>
  <c r="M58" i="52"/>
  <c r="L58" i="52"/>
  <c r="L60" i="52" s="1"/>
  <c r="G58" i="52"/>
  <c r="F58" i="52"/>
  <c r="E58" i="52"/>
  <c r="D58" i="52"/>
  <c r="C58" i="52"/>
  <c r="B58" i="52"/>
  <c r="B60" i="52" s="1"/>
  <c r="Q39" i="52"/>
  <c r="Q41" i="52" s="1"/>
  <c r="O39" i="52"/>
  <c r="N39" i="52"/>
  <c r="M39" i="52"/>
  <c r="M41" i="52" s="1"/>
  <c r="L39" i="52"/>
  <c r="L41" i="52" s="1"/>
  <c r="G39" i="52"/>
  <c r="G41" i="52" s="1"/>
  <c r="E39" i="52"/>
  <c r="E41" i="52" s="1"/>
  <c r="D39" i="52"/>
  <c r="D41" i="52" s="1"/>
  <c r="C39" i="52"/>
  <c r="B39" i="52"/>
  <c r="B41" i="52" s="1"/>
  <c r="F19" i="52"/>
  <c r="F18" i="52"/>
  <c r="F17" i="52"/>
  <c r="F16" i="52"/>
  <c r="F15" i="52"/>
  <c r="F14" i="52"/>
  <c r="F13" i="52"/>
  <c r="F12" i="52"/>
  <c r="F11" i="52"/>
  <c r="G20" i="52"/>
  <c r="G22" i="52" s="1"/>
  <c r="E20" i="52"/>
  <c r="E22" i="52" s="1"/>
  <c r="D20" i="52"/>
  <c r="D22" i="52" s="1"/>
  <c r="C20" i="52"/>
  <c r="C22" i="52" s="1"/>
  <c r="Q20" i="52"/>
  <c r="Q22" i="52" s="1"/>
  <c r="O20" i="52"/>
  <c r="N20" i="52"/>
  <c r="F67" i="52"/>
  <c r="F68" i="52"/>
  <c r="F69" i="52"/>
  <c r="F70" i="52"/>
  <c r="F71" i="52"/>
  <c r="F72" i="52"/>
  <c r="F73" i="52"/>
  <c r="F74" i="52"/>
  <c r="F75" i="52"/>
  <c r="F76" i="52"/>
  <c r="C77" i="52"/>
  <c r="C79" i="52" s="1"/>
  <c r="D77" i="52"/>
  <c r="D79" i="52" s="1"/>
  <c r="E77" i="52"/>
  <c r="E79" i="52" s="1"/>
  <c r="P67" i="52"/>
  <c r="P68" i="52"/>
  <c r="P69" i="52"/>
  <c r="P70" i="52"/>
  <c r="P71" i="52"/>
  <c r="P72" i="52"/>
  <c r="P73" i="52"/>
  <c r="P74" i="52"/>
  <c r="P75" i="52"/>
  <c r="P76" i="52"/>
  <c r="M77" i="52"/>
  <c r="M79" i="52" s="1"/>
  <c r="N77" i="52"/>
  <c r="N79" i="52" s="1"/>
  <c r="O77" i="52"/>
  <c r="O79" i="52" s="1"/>
  <c r="P78" i="52"/>
  <c r="P98" i="52"/>
  <c r="F98" i="52"/>
  <c r="Q97" i="52"/>
  <c r="Q99" i="52" s="1"/>
  <c r="O97" i="52"/>
  <c r="O99" i="52" s="1"/>
  <c r="N97" i="52"/>
  <c r="N99" i="52" s="1"/>
  <c r="M97" i="52"/>
  <c r="M99" i="52" s="1"/>
  <c r="L97" i="52"/>
  <c r="L99" i="52" s="1"/>
  <c r="G97" i="52"/>
  <c r="G99" i="52" s="1"/>
  <c r="E97" i="52"/>
  <c r="E99" i="52" s="1"/>
  <c r="D97" i="52"/>
  <c r="D99" i="52" s="1"/>
  <c r="C97" i="52"/>
  <c r="C99" i="52" s="1"/>
  <c r="B97" i="52"/>
  <c r="B99" i="52" s="1"/>
  <c r="P96" i="52"/>
  <c r="F96" i="52"/>
  <c r="P95" i="52"/>
  <c r="F95" i="52"/>
  <c r="P94" i="52"/>
  <c r="F94" i="52"/>
  <c r="P93" i="52"/>
  <c r="F93" i="52"/>
  <c r="P92" i="52"/>
  <c r="F92" i="52"/>
  <c r="P91" i="52"/>
  <c r="F91" i="52"/>
  <c r="P90" i="52"/>
  <c r="F90" i="52"/>
  <c r="P89" i="52"/>
  <c r="F89" i="52"/>
  <c r="P88" i="52"/>
  <c r="F88" i="52"/>
  <c r="R87" i="52"/>
  <c r="P87" i="52"/>
  <c r="H87" i="52"/>
  <c r="I87" i="52" s="1"/>
  <c r="F87" i="52"/>
  <c r="L77" i="52"/>
  <c r="L79" i="52" s="1"/>
  <c r="G77" i="52"/>
  <c r="G79" i="52" s="1"/>
  <c r="B77" i="52"/>
  <c r="B79" i="52" s="1"/>
  <c r="R67" i="52"/>
  <c r="S67" i="52" s="1"/>
  <c r="H67" i="52"/>
  <c r="P59" i="52"/>
  <c r="F59" i="52"/>
  <c r="O60" i="52"/>
  <c r="N60" i="52"/>
  <c r="M60" i="52"/>
  <c r="G60" i="52"/>
  <c r="E60" i="52"/>
  <c r="D60" i="52"/>
  <c r="C60" i="52"/>
  <c r="P57" i="52"/>
  <c r="F57" i="52"/>
  <c r="P56" i="52"/>
  <c r="F56" i="52"/>
  <c r="P55" i="52"/>
  <c r="F55" i="52"/>
  <c r="P54" i="52"/>
  <c r="F54" i="52"/>
  <c r="P53" i="52"/>
  <c r="F53" i="52"/>
  <c r="P52" i="52"/>
  <c r="F52" i="52"/>
  <c r="P51" i="52"/>
  <c r="F51" i="52"/>
  <c r="Q50" i="52"/>
  <c r="Q60" i="52" s="1"/>
  <c r="P50" i="52"/>
  <c r="F50" i="52"/>
  <c r="P49" i="52"/>
  <c r="F49" i="52"/>
  <c r="R48" i="52"/>
  <c r="S48" i="52" s="1"/>
  <c r="P48" i="52"/>
  <c r="H48" i="52"/>
  <c r="I48" i="52" s="1"/>
  <c r="F48" i="52"/>
  <c r="R40" i="52"/>
  <c r="S40" i="52" s="1"/>
  <c r="P40" i="52"/>
  <c r="H40" i="52"/>
  <c r="I40" i="52" s="1"/>
  <c r="F40" i="52"/>
  <c r="O41" i="52"/>
  <c r="N41" i="52"/>
  <c r="C41" i="52"/>
  <c r="R38" i="52"/>
  <c r="S38" i="52" s="1"/>
  <c r="P38" i="52"/>
  <c r="H38" i="52"/>
  <c r="I38" i="52" s="1"/>
  <c r="F38" i="52"/>
  <c r="R37" i="52"/>
  <c r="S37" i="52" s="1"/>
  <c r="P37" i="52"/>
  <c r="H37" i="52"/>
  <c r="I37" i="52" s="1"/>
  <c r="F37" i="52"/>
  <c r="R36" i="52"/>
  <c r="S36" i="52" s="1"/>
  <c r="P36" i="52"/>
  <c r="H36" i="52"/>
  <c r="I36" i="52" s="1"/>
  <c r="F36" i="52"/>
  <c r="R35" i="52"/>
  <c r="S35" i="52" s="1"/>
  <c r="P35" i="52"/>
  <c r="H35" i="52"/>
  <c r="I35" i="52" s="1"/>
  <c r="F35" i="52"/>
  <c r="R34" i="52"/>
  <c r="S34" i="52" s="1"/>
  <c r="P34" i="52"/>
  <c r="H34" i="52"/>
  <c r="I34" i="52" s="1"/>
  <c r="F34" i="52"/>
  <c r="R33" i="52"/>
  <c r="S33" i="52" s="1"/>
  <c r="P33" i="52"/>
  <c r="H33" i="52"/>
  <c r="I33" i="52" s="1"/>
  <c r="F33" i="52"/>
  <c r="R32" i="52"/>
  <c r="S32" i="52" s="1"/>
  <c r="P32" i="52"/>
  <c r="H32" i="52"/>
  <c r="I32" i="52" s="1"/>
  <c r="F32" i="52"/>
  <c r="R31" i="52"/>
  <c r="S31" i="52" s="1"/>
  <c r="P31" i="52"/>
  <c r="H31" i="52"/>
  <c r="I31" i="52" s="1"/>
  <c r="F31" i="52"/>
  <c r="R30" i="52"/>
  <c r="S30" i="52" s="1"/>
  <c r="P30" i="52"/>
  <c r="H30" i="52"/>
  <c r="I30" i="52" s="1"/>
  <c r="F30" i="52"/>
  <c r="R29" i="52"/>
  <c r="S29" i="52" s="1"/>
  <c r="P29" i="52"/>
  <c r="H29" i="52"/>
  <c r="I29" i="52" s="1"/>
  <c r="F29" i="52"/>
  <c r="R21" i="52"/>
  <c r="S21" i="52" s="1"/>
  <c r="L21" i="52"/>
  <c r="H21" i="52"/>
  <c r="I21" i="52" s="1"/>
  <c r="O22" i="52"/>
  <c r="N22" i="52"/>
  <c r="B20" i="52"/>
  <c r="B22" i="52" s="1"/>
  <c r="R19" i="52"/>
  <c r="S19" i="52" s="1"/>
  <c r="P19" i="52"/>
  <c r="L19" i="52"/>
  <c r="H19" i="52"/>
  <c r="I19" i="52" s="1"/>
  <c r="R18" i="52"/>
  <c r="S18" i="52" s="1"/>
  <c r="P18" i="52"/>
  <c r="L18" i="52"/>
  <c r="H18" i="52"/>
  <c r="I18" i="52" s="1"/>
  <c r="R17" i="52"/>
  <c r="S17" i="52" s="1"/>
  <c r="P17" i="52"/>
  <c r="H17" i="52"/>
  <c r="I17" i="52" s="1"/>
  <c r="R16" i="52"/>
  <c r="S16" i="52" s="1"/>
  <c r="P16" i="52"/>
  <c r="L16" i="52"/>
  <c r="H16" i="52"/>
  <c r="I16" i="52" s="1"/>
  <c r="R15" i="52"/>
  <c r="S15" i="52" s="1"/>
  <c r="P15" i="52"/>
  <c r="H15" i="52"/>
  <c r="I15" i="52" s="1"/>
  <c r="R14" i="52"/>
  <c r="S14" i="52" s="1"/>
  <c r="P14" i="52"/>
  <c r="L14" i="52"/>
  <c r="L13" i="52" s="1"/>
  <c r="H14" i="52"/>
  <c r="I14" i="52" s="1"/>
  <c r="R13" i="52"/>
  <c r="S13" i="52" s="1"/>
  <c r="P13" i="52"/>
  <c r="H13" i="52"/>
  <c r="I13" i="52" s="1"/>
  <c r="R12" i="52"/>
  <c r="S12" i="52" s="1"/>
  <c r="P12" i="52"/>
  <c r="H12" i="52"/>
  <c r="I12" i="52" s="1"/>
  <c r="R11" i="52"/>
  <c r="S11" i="52" s="1"/>
  <c r="P11" i="52"/>
  <c r="H11" i="52"/>
  <c r="M10" i="52"/>
  <c r="M20" i="52" s="1"/>
  <c r="L10" i="52"/>
  <c r="H10" i="52"/>
  <c r="I10" i="52" s="1"/>
  <c r="F10" i="52"/>
  <c r="Q79" i="52" l="1"/>
  <c r="R79" i="52" s="1"/>
  <c r="S79" i="52" s="1"/>
  <c r="R77" i="52"/>
  <c r="S77" i="52" s="1"/>
  <c r="F39" i="52"/>
  <c r="F41" i="52" s="1"/>
  <c r="R41" i="52"/>
  <c r="S41" i="52" s="1"/>
  <c r="L20" i="52"/>
  <c r="H22" i="52"/>
  <c r="I22" i="52" s="1"/>
  <c r="H39" i="52"/>
  <c r="I39" i="52" s="1"/>
  <c r="P39" i="52"/>
  <c r="P41" i="52" s="1"/>
  <c r="H41" i="52"/>
  <c r="I41" i="52" s="1"/>
  <c r="R39" i="52"/>
  <c r="S39" i="52" s="1"/>
  <c r="R20" i="52"/>
  <c r="F77" i="52"/>
  <c r="F79" i="52" s="1"/>
  <c r="M22" i="52"/>
  <c r="R22" i="52" s="1"/>
  <c r="F20" i="52"/>
  <c r="F22" i="52" s="1"/>
  <c r="P77" i="52"/>
  <c r="P79" i="52" s="1"/>
  <c r="F60" i="52"/>
  <c r="F97" i="52"/>
  <c r="F99" i="52" s="1"/>
  <c r="P97" i="52"/>
  <c r="P99" i="52" s="1"/>
  <c r="R10" i="52"/>
  <c r="P60" i="52"/>
  <c r="L22" i="52"/>
  <c r="P10" i="52"/>
  <c r="S87" i="52"/>
  <c r="H20" i="52"/>
  <c r="I11" i="52"/>
  <c r="I67" i="52"/>
  <c r="P20" i="52" l="1"/>
  <c r="P22" i="52" s="1"/>
  <c r="I20" i="52"/>
  <c r="S10" i="52"/>
  <c r="S22" i="52" l="1"/>
  <c r="S20" i="52"/>
  <c r="E37" i="49" l="1"/>
  <c r="E38" i="49"/>
  <c r="E39" i="49"/>
  <c r="E40" i="49"/>
  <c r="E41" i="49"/>
  <c r="E42" i="49"/>
  <c r="E43" i="49"/>
  <c r="E45" i="49"/>
  <c r="E46" i="49"/>
  <c r="E47" i="49"/>
  <c r="E48" i="49"/>
  <c r="K32" i="49"/>
  <c r="J32" i="49"/>
  <c r="K35" i="49"/>
  <c r="J35" i="49"/>
  <c r="I28" i="49"/>
  <c r="J28" i="49" s="1"/>
  <c r="K52" i="45"/>
  <c r="J52" i="45"/>
  <c r="K51" i="45"/>
  <c r="J51" i="45"/>
  <c r="K50" i="45"/>
  <c r="J50" i="45"/>
  <c r="K49" i="45"/>
  <c r="J49" i="45"/>
  <c r="K48" i="45"/>
  <c r="J48" i="45"/>
  <c r="K47" i="45"/>
  <c r="J47" i="45"/>
  <c r="K45" i="45"/>
  <c r="J45" i="45"/>
  <c r="K44" i="45"/>
  <c r="J44" i="45"/>
  <c r="K43" i="45"/>
  <c r="J43" i="45"/>
  <c r="K42" i="45"/>
  <c r="J42" i="45"/>
  <c r="K41" i="45"/>
  <c r="J41" i="45"/>
  <c r="K40" i="45"/>
  <c r="J40" i="45"/>
  <c r="K39" i="45"/>
  <c r="J39" i="45"/>
  <c r="K38" i="45"/>
  <c r="J38" i="45"/>
  <c r="K37" i="45"/>
  <c r="J37" i="45"/>
  <c r="K36" i="45"/>
  <c r="J36" i="45"/>
  <c r="K34" i="45"/>
  <c r="J34" i="45"/>
  <c r="K33" i="45"/>
  <c r="J33" i="45"/>
  <c r="K32" i="45"/>
  <c r="J32" i="45"/>
  <c r="K31" i="45"/>
  <c r="J31" i="45"/>
  <c r="K30" i="45"/>
  <c r="J30" i="45"/>
  <c r="K29" i="45"/>
  <c r="J29" i="45"/>
  <c r="K27" i="45"/>
  <c r="J27" i="45"/>
  <c r="K26" i="45"/>
  <c r="J26" i="45"/>
  <c r="K25" i="45"/>
  <c r="J25" i="45"/>
  <c r="K24" i="45"/>
  <c r="J24" i="45"/>
  <c r="K23" i="45"/>
  <c r="J23" i="45"/>
  <c r="K22" i="45"/>
  <c r="J22" i="45"/>
  <c r="K21" i="45"/>
  <c r="J21" i="45"/>
  <c r="K20" i="45"/>
  <c r="J20" i="45"/>
  <c r="K19" i="45"/>
  <c r="J19" i="45"/>
  <c r="K18" i="45"/>
  <c r="J18" i="45"/>
  <c r="K17" i="45"/>
  <c r="J17" i="45"/>
  <c r="K16" i="45"/>
  <c r="J16" i="45"/>
  <c r="K15" i="45"/>
  <c r="J15" i="45"/>
  <c r="K14" i="45"/>
  <c r="J14" i="45"/>
  <c r="K13" i="45"/>
  <c r="J13" i="45"/>
  <c r="K12" i="45"/>
  <c r="J12" i="45"/>
  <c r="K11" i="45"/>
  <c r="J11" i="45"/>
  <c r="K10" i="45"/>
  <c r="J10" i="45"/>
  <c r="K9" i="45"/>
  <c r="J9" i="45"/>
  <c r="K8" i="45"/>
  <c r="J8" i="45"/>
  <c r="K7" i="45"/>
  <c r="J7" i="45"/>
  <c r="K36" i="49"/>
  <c r="K33" i="49"/>
  <c r="K30" i="49"/>
  <c r="K8" i="49"/>
  <c r="C55" i="49"/>
  <c r="I52" i="45"/>
  <c r="D49" i="49"/>
  <c r="H44" i="49"/>
  <c r="H26" i="49"/>
  <c r="J36" i="49"/>
  <c r="J33" i="49"/>
  <c r="I31" i="49"/>
  <c r="J31" i="49" s="1"/>
  <c r="E32" i="49"/>
  <c r="C66" i="49"/>
  <c r="C65" i="49"/>
  <c r="C64" i="49"/>
  <c r="C63" i="49"/>
  <c r="C62" i="49"/>
  <c r="C61" i="49"/>
  <c r="C60" i="49"/>
  <c r="C59" i="49"/>
  <c r="C58" i="49"/>
  <c r="C57" i="49"/>
  <c r="C56" i="49"/>
  <c r="C38" i="49"/>
  <c r="C35" i="49"/>
  <c r="G48" i="49"/>
  <c r="G43" i="49"/>
  <c r="G40" i="49"/>
  <c r="G37" i="49"/>
  <c r="F38" i="49"/>
  <c r="F42" i="49"/>
  <c r="H43" i="49"/>
  <c r="I41" i="49"/>
  <c r="K41" i="49" s="1"/>
  <c r="H40" i="49"/>
  <c r="H48" i="49"/>
  <c r="I47" i="49"/>
  <c r="K47" i="49" s="1"/>
  <c r="I46" i="49"/>
  <c r="K46" i="49" s="1"/>
  <c r="H45" i="49"/>
  <c r="I39" i="49"/>
  <c r="K39" i="49" s="1"/>
  <c r="I16" i="49"/>
  <c r="J16" i="49" s="1"/>
  <c r="C46" i="49"/>
  <c r="C41" i="49"/>
  <c r="C48" i="49"/>
  <c r="C47" i="49"/>
  <c r="C45" i="49"/>
  <c r="C43" i="49"/>
  <c r="C42" i="49"/>
  <c r="C40" i="49"/>
  <c r="C39" i="49"/>
  <c r="C37" i="49"/>
  <c r="D27" i="49"/>
  <c r="D32" i="49" s="1"/>
  <c r="C27" i="49"/>
  <c r="C32" i="49" s="1"/>
  <c r="H27" i="49"/>
  <c r="I27" i="49"/>
  <c r="K27" i="49" s="1"/>
  <c r="D35" i="49"/>
  <c r="G32" i="49"/>
  <c r="F32" i="49"/>
  <c r="H41" i="49"/>
  <c r="G35" i="49"/>
  <c r="F35" i="49"/>
  <c r="E35" i="49"/>
  <c r="I34" i="49"/>
  <c r="I35" i="49" s="1"/>
  <c r="H34" i="49"/>
  <c r="H35" i="49" s="1"/>
  <c r="H31" i="49"/>
  <c r="I30" i="49"/>
  <c r="J30" i="49" s="1"/>
  <c r="H30" i="49"/>
  <c r="I29" i="49"/>
  <c r="J29" i="49" s="1"/>
  <c r="H29" i="49"/>
  <c r="H28" i="49"/>
  <c r="I25" i="49"/>
  <c r="J25" i="49" s="1"/>
  <c r="H25" i="49"/>
  <c r="I24" i="49"/>
  <c r="J24" i="49" s="1"/>
  <c r="H24" i="49"/>
  <c r="I23" i="49"/>
  <c r="J23" i="49" s="1"/>
  <c r="H23" i="49"/>
  <c r="I22" i="49"/>
  <c r="J22" i="49" s="1"/>
  <c r="H22" i="49"/>
  <c r="I21" i="49"/>
  <c r="J21" i="49" s="1"/>
  <c r="H21" i="49"/>
  <c r="I20" i="49"/>
  <c r="J20" i="49" s="1"/>
  <c r="H20" i="49"/>
  <c r="I19" i="49"/>
  <c r="J19" i="49" s="1"/>
  <c r="H19" i="49"/>
  <c r="I18" i="49"/>
  <c r="J18" i="49" s="1"/>
  <c r="H18" i="49"/>
  <c r="I17" i="49"/>
  <c r="J17" i="49" s="1"/>
  <c r="H17" i="49"/>
  <c r="I15" i="49"/>
  <c r="J15" i="49" s="1"/>
  <c r="H15" i="49"/>
  <c r="I14" i="49"/>
  <c r="J14" i="49" s="1"/>
  <c r="H14" i="49"/>
  <c r="I13" i="49"/>
  <c r="J13" i="49" s="1"/>
  <c r="H13" i="49"/>
  <c r="I12" i="49"/>
  <c r="J12" i="49" s="1"/>
  <c r="H12" i="49"/>
  <c r="I11" i="49"/>
  <c r="J11" i="49" s="1"/>
  <c r="H11" i="49"/>
  <c r="I10" i="49"/>
  <c r="J10" i="49" s="1"/>
  <c r="H10" i="49"/>
  <c r="I9" i="49"/>
  <c r="J9" i="49" s="1"/>
  <c r="H9" i="49"/>
  <c r="I8" i="49"/>
  <c r="J8" i="49" s="1"/>
  <c r="H8" i="49"/>
  <c r="I7" i="49"/>
  <c r="J7" i="49" s="1"/>
  <c r="H7" i="49"/>
  <c r="C52" i="45"/>
  <c r="K7" i="49" l="1"/>
  <c r="K10" i="49"/>
  <c r="K34" i="49"/>
  <c r="K14" i="49"/>
  <c r="K15" i="49"/>
  <c r="K23" i="49"/>
  <c r="K29" i="49"/>
  <c r="K31" i="49"/>
  <c r="G49" i="49"/>
  <c r="K16" i="49"/>
  <c r="K24" i="49"/>
  <c r="K9" i="49"/>
  <c r="K17" i="49"/>
  <c r="K25" i="49"/>
  <c r="K22" i="49"/>
  <c r="K19" i="49"/>
  <c r="K12" i="49"/>
  <c r="K20" i="49"/>
  <c r="K18" i="49"/>
  <c r="K11" i="49"/>
  <c r="K13" i="49"/>
  <c r="K21" i="49"/>
  <c r="K28" i="49"/>
  <c r="I45" i="49"/>
  <c r="J47" i="49"/>
  <c r="F49" i="49"/>
  <c r="E49" i="49"/>
  <c r="E50" i="49" s="1"/>
  <c r="I37" i="49"/>
  <c r="K37" i="49" s="1"/>
  <c r="J41" i="49"/>
  <c r="J39" i="49"/>
  <c r="J27" i="49"/>
  <c r="J46" i="49"/>
  <c r="J34" i="49"/>
  <c r="I48" i="49"/>
  <c r="H42" i="49"/>
  <c r="H39" i="49"/>
  <c r="I40" i="49"/>
  <c r="H38" i="49"/>
  <c r="G50" i="49"/>
  <c r="I38" i="49"/>
  <c r="F50" i="49"/>
  <c r="I42" i="49"/>
  <c r="I43" i="49"/>
  <c r="H37" i="49"/>
  <c r="H47" i="49"/>
  <c r="H46" i="49"/>
  <c r="C49" i="49"/>
  <c r="C50" i="49" s="1"/>
  <c r="D50" i="49"/>
  <c r="H32" i="49"/>
  <c r="I32" i="49"/>
  <c r="J42" i="49" l="1"/>
  <c r="K42" i="49"/>
  <c r="J48" i="49"/>
  <c r="K48" i="49"/>
  <c r="J43" i="49"/>
  <c r="K43" i="49"/>
  <c r="J38" i="49"/>
  <c r="K38" i="49"/>
  <c r="J45" i="49"/>
  <c r="K45" i="49"/>
  <c r="J40" i="49"/>
  <c r="K40" i="49"/>
  <c r="H49" i="49"/>
  <c r="H50" i="49" s="1"/>
  <c r="I49" i="49"/>
  <c r="J37" i="49"/>
  <c r="K49" i="49" l="1"/>
  <c r="J49" i="49"/>
  <c r="I50" i="49"/>
  <c r="J50" i="49" l="1"/>
  <c r="J52" i="49"/>
  <c r="K52" i="49"/>
  <c r="K50" i="49"/>
  <c r="I36" i="45" l="1"/>
  <c r="H36" i="45"/>
  <c r="E37" i="45"/>
  <c r="F37" i="45"/>
  <c r="E34" i="45"/>
  <c r="F34" i="45"/>
  <c r="G51" i="45"/>
  <c r="F51" i="45"/>
  <c r="E51" i="45"/>
  <c r="D51" i="45"/>
  <c r="C51" i="45"/>
  <c r="I50" i="45"/>
  <c r="H50" i="45"/>
  <c r="I49" i="45"/>
  <c r="H49" i="45"/>
  <c r="I48" i="45"/>
  <c r="I51" i="45" s="1"/>
  <c r="H48" i="45"/>
  <c r="I47" i="45"/>
  <c r="H47" i="45"/>
  <c r="I45" i="45"/>
  <c r="H45" i="45"/>
  <c r="I44" i="45"/>
  <c r="H44" i="45"/>
  <c r="I43" i="45"/>
  <c r="H43" i="45"/>
  <c r="I42" i="45"/>
  <c r="H42" i="45"/>
  <c r="I41" i="45"/>
  <c r="H41" i="45"/>
  <c r="I40" i="45"/>
  <c r="H40" i="45"/>
  <c r="I39" i="45"/>
  <c r="H39" i="45"/>
  <c r="H51" i="45" s="1"/>
  <c r="D37" i="45"/>
  <c r="C37" i="45"/>
  <c r="G34" i="45"/>
  <c r="G52" i="45" s="1"/>
  <c r="F52" i="45"/>
  <c r="D34" i="45"/>
  <c r="D52" i="45" s="1"/>
  <c r="C34" i="45"/>
  <c r="I33" i="45"/>
  <c r="H33" i="45"/>
  <c r="I32" i="45"/>
  <c r="H32" i="45"/>
  <c r="I31" i="45"/>
  <c r="H31" i="45"/>
  <c r="I30" i="45"/>
  <c r="H30" i="45"/>
  <c r="I29" i="45"/>
  <c r="H29" i="45"/>
  <c r="I27" i="45"/>
  <c r="H27" i="45"/>
  <c r="I26" i="45"/>
  <c r="H26" i="45"/>
  <c r="I25" i="45"/>
  <c r="H25" i="45"/>
  <c r="I24" i="45"/>
  <c r="H24" i="45"/>
  <c r="I23" i="45"/>
  <c r="I34" i="45" s="1"/>
  <c r="H23" i="45"/>
  <c r="H34" i="45" s="1"/>
  <c r="I22" i="45"/>
  <c r="H22" i="45"/>
  <c r="I21" i="45"/>
  <c r="H21" i="45"/>
  <c r="I20" i="45"/>
  <c r="H20" i="45"/>
  <c r="I19" i="45"/>
  <c r="H19" i="45"/>
  <c r="I18" i="45"/>
  <c r="H18" i="45"/>
  <c r="I17" i="45"/>
  <c r="H17" i="45"/>
  <c r="I16" i="45"/>
  <c r="H16" i="45"/>
  <c r="I15" i="45"/>
  <c r="H15" i="45"/>
  <c r="I14" i="45"/>
  <c r="H14" i="45"/>
  <c r="I13" i="45"/>
  <c r="H13" i="45"/>
  <c r="I12" i="45"/>
  <c r="H12" i="45"/>
  <c r="I11" i="45"/>
  <c r="H11" i="45"/>
  <c r="I10" i="45"/>
  <c r="H10" i="45"/>
  <c r="I9" i="45"/>
  <c r="H9" i="45"/>
  <c r="I8" i="45"/>
  <c r="H8" i="45"/>
  <c r="I7" i="45"/>
  <c r="H7" i="45"/>
  <c r="L27" i="12"/>
  <c r="H52" i="45" l="1"/>
  <c r="E52" i="45"/>
  <c r="D31" i="36" l="1"/>
  <c r="C7" i="41"/>
  <c r="C11" i="41"/>
  <c r="I22" i="40" l="1"/>
  <c r="H22" i="40"/>
  <c r="F22" i="40"/>
  <c r="E22" i="40"/>
  <c r="G21" i="40"/>
  <c r="G20" i="40"/>
  <c r="G19" i="40"/>
  <c r="G18" i="40"/>
  <c r="G17" i="40"/>
  <c r="G16" i="40"/>
  <c r="G15" i="40"/>
  <c r="G14" i="40"/>
  <c r="G10" i="40"/>
  <c r="D10" i="40"/>
  <c r="D22" i="40" s="1"/>
  <c r="G9" i="40"/>
  <c r="G8" i="40"/>
  <c r="G7" i="40"/>
  <c r="G6" i="40"/>
  <c r="G22" i="40" l="1"/>
  <c r="C7" i="39"/>
  <c r="C13" i="39" s="1"/>
  <c r="D34" i="36" l="1"/>
  <c r="M13" i="12"/>
  <c r="M27" i="12"/>
  <c r="M28" i="12" s="1"/>
  <c r="M23" i="12"/>
  <c r="M20" i="12"/>
  <c r="M16" i="12"/>
  <c r="M15" i="12"/>
  <c r="M14" i="12"/>
  <c r="M12" i="12"/>
  <c r="D27" i="36" l="1"/>
  <c r="D28" i="36"/>
  <c r="D29" i="36"/>
  <c r="D30" i="36"/>
  <c r="D26" i="36"/>
  <c r="D22" i="36"/>
  <c r="D15" i="36"/>
  <c r="D32" i="36" l="1"/>
  <c r="D23" i="36"/>
  <c r="D21" i="36"/>
  <c r="K73" i="22" l="1"/>
  <c r="K66" i="22"/>
  <c r="D33" i="36" l="1"/>
  <c r="D25" i="36" s="1"/>
  <c r="D35" i="36" l="1"/>
  <c r="D12" i="36" l="1"/>
  <c r="D10" i="36" l="1"/>
  <c r="D14" i="36"/>
  <c r="D13" i="36" s="1"/>
  <c r="D9" i="36"/>
  <c r="D8" i="36"/>
  <c r="D11" i="36"/>
  <c r="D38" i="36"/>
  <c r="D39" i="36"/>
  <c r="D40" i="36"/>
  <c r="D37" i="36"/>
  <c r="D18" i="36"/>
  <c r="D17" i="36" s="1"/>
  <c r="D36" i="36" l="1"/>
  <c r="D16" i="36"/>
  <c r="D7" i="36"/>
  <c r="D5" i="36"/>
  <c r="D6" i="36" l="1"/>
  <c r="D4" i="36" s="1"/>
  <c r="D24" i="36" l="1"/>
  <c r="D20" i="36" s="1"/>
  <c r="P19" i="30"/>
  <c r="P18" i="30"/>
  <c r="L99" i="30" l="1"/>
  <c r="M99" i="30" s="1"/>
  <c r="F99" i="30"/>
  <c r="G99" i="30" s="1"/>
  <c r="K98" i="30"/>
  <c r="J98" i="30"/>
  <c r="J100" i="30" s="1"/>
  <c r="I98" i="30"/>
  <c r="H98" i="30"/>
  <c r="H100" i="30" s="1"/>
  <c r="E98" i="30"/>
  <c r="E100" i="30" s="1"/>
  <c r="D98" i="30"/>
  <c r="D100" i="30" s="1"/>
  <c r="C98" i="30"/>
  <c r="C100" i="30" s="1"/>
  <c r="B98" i="30"/>
  <c r="B100" i="30" s="1"/>
  <c r="L97" i="30"/>
  <c r="M97" i="30" s="1"/>
  <c r="G97" i="30"/>
  <c r="F97" i="30"/>
  <c r="M96" i="30"/>
  <c r="L96" i="30"/>
  <c r="G96" i="30"/>
  <c r="F96" i="30"/>
  <c r="M95" i="30"/>
  <c r="L95" i="30"/>
  <c r="F95" i="30"/>
  <c r="G95" i="30" s="1"/>
  <c r="L94" i="30"/>
  <c r="M94" i="30" s="1"/>
  <c r="G94" i="30"/>
  <c r="F94" i="30"/>
  <c r="L93" i="30"/>
  <c r="M93" i="30" s="1"/>
  <c r="F93" i="30"/>
  <c r="G93" i="30" s="1"/>
  <c r="L92" i="30"/>
  <c r="M92" i="30" s="1"/>
  <c r="F92" i="30"/>
  <c r="G92" i="30" s="1"/>
  <c r="L91" i="30"/>
  <c r="M91" i="30" s="1"/>
  <c r="G91" i="30"/>
  <c r="F91" i="30"/>
  <c r="L90" i="30"/>
  <c r="M90" i="30" s="1"/>
  <c r="F90" i="30"/>
  <c r="G90" i="30" s="1"/>
  <c r="L89" i="30"/>
  <c r="M89" i="30" s="1"/>
  <c r="F89" i="30"/>
  <c r="G89" i="30" s="1"/>
  <c r="L88" i="30"/>
  <c r="M88" i="30" s="1"/>
  <c r="F88" i="30"/>
  <c r="G88" i="30" s="1"/>
  <c r="M78" i="30"/>
  <c r="L78" i="30"/>
  <c r="F78" i="30"/>
  <c r="G78" i="30" s="1"/>
  <c r="K77" i="30"/>
  <c r="J77" i="30"/>
  <c r="J79" i="30" s="1"/>
  <c r="I77" i="30"/>
  <c r="I79" i="30" s="1"/>
  <c r="H77" i="30"/>
  <c r="H79" i="30" s="1"/>
  <c r="E77" i="30"/>
  <c r="D77" i="30"/>
  <c r="D79" i="30" s="1"/>
  <c r="C77" i="30"/>
  <c r="C79" i="30" s="1"/>
  <c r="B77" i="30"/>
  <c r="B79" i="30" s="1"/>
  <c r="M76" i="30"/>
  <c r="L76" i="30"/>
  <c r="G76" i="30"/>
  <c r="F76" i="30"/>
  <c r="M75" i="30"/>
  <c r="L75" i="30"/>
  <c r="G75" i="30"/>
  <c r="F75" i="30"/>
  <c r="M74" i="30"/>
  <c r="L74" i="30"/>
  <c r="F74" i="30"/>
  <c r="G74" i="30" s="1"/>
  <c r="L73" i="30"/>
  <c r="M73" i="30" s="1"/>
  <c r="F73" i="30"/>
  <c r="G73" i="30" s="1"/>
  <c r="M72" i="30"/>
  <c r="L72" i="30"/>
  <c r="G72" i="30"/>
  <c r="F72" i="30"/>
  <c r="L71" i="30"/>
  <c r="M71" i="30" s="1"/>
  <c r="F71" i="30"/>
  <c r="G71" i="30" s="1"/>
  <c r="M70" i="30"/>
  <c r="L70" i="30"/>
  <c r="G70" i="30"/>
  <c r="F70" i="30"/>
  <c r="L69" i="30"/>
  <c r="M69" i="30" s="1"/>
  <c r="F69" i="30"/>
  <c r="G69" i="30" s="1"/>
  <c r="L68" i="30"/>
  <c r="M68" i="30" s="1"/>
  <c r="F68" i="30"/>
  <c r="G68" i="30" s="1"/>
  <c r="M67" i="30"/>
  <c r="L67" i="30"/>
  <c r="F67" i="30"/>
  <c r="G67" i="30" s="1"/>
  <c r="L58" i="30"/>
  <c r="M58" i="30" s="1"/>
  <c r="F58" i="30"/>
  <c r="G58" i="30" s="1"/>
  <c r="K57" i="30"/>
  <c r="J57" i="30"/>
  <c r="J59" i="30" s="1"/>
  <c r="I57" i="30"/>
  <c r="H57" i="30"/>
  <c r="H59" i="30" s="1"/>
  <c r="E57" i="30"/>
  <c r="E59" i="30" s="1"/>
  <c r="D57" i="30"/>
  <c r="D59" i="30" s="1"/>
  <c r="C57" i="30"/>
  <c r="C59" i="30" s="1"/>
  <c r="B57" i="30"/>
  <c r="B59" i="30" s="1"/>
  <c r="L56" i="30"/>
  <c r="M56" i="30" s="1"/>
  <c r="F56" i="30"/>
  <c r="G56" i="30" s="1"/>
  <c r="L55" i="30"/>
  <c r="M55" i="30" s="1"/>
  <c r="G55" i="30"/>
  <c r="F55" i="30"/>
  <c r="M54" i="30"/>
  <c r="L54" i="30"/>
  <c r="G54" i="30"/>
  <c r="F54" i="30"/>
  <c r="M53" i="30"/>
  <c r="L53" i="30"/>
  <c r="F53" i="30"/>
  <c r="G53" i="30" s="1"/>
  <c r="L52" i="30"/>
  <c r="M52" i="30" s="1"/>
  <c r="F52" i="30"/>
  <c r="G52" i="30" s="1"/>
  <c r="L51" i="30"/>
  <c r="M51" i="30" s="1"/>
  <c r="F51" i="30"/>
  <c r="G51" i="30" s="1"/>
  <c r="L50" i="30"/>
  <c r="M50" i="30" s="1"/>
  <c r="F50" i="30"/>
  <c r="G50" i="30" s="1"/>
  <c r="L49" i="30"/>
  <c r="M49" i="30" s="1"/>
  <c r="F49" i="30"/>
  <c r="G49" i="30" s="1"/>
  <c r="L48" i="30"/>
  <c r="M48" i="30" s="1"/>
  <c r="F48" i="30"/>
  <c r="G48" i="30" s="1"/>
  <c r="L47" i="30"/>
  <c r="M47" i="30" s="1"/>
  <c r="F47" i="30"/>
  <c r="G47" i="30" s="1"/>
  <c r="M39" i="30"/>
  <c r="L39" i="30"/>
  <c r="F39" i="30"/>
  <c r="G39" i="30" s="1"/>
  <c r="K38" i="30"/>
  <c r="J38" i="30"/>
  <c r="J40" i="30" s="1"/>
  <c r="I38" i="30"/>
  <c r="I40" i="30" s="1"/>
  <c r="H38" i="30"/>
  <c r="H40" i="30" s="1"/>
  <c r="E38" i="30"/>
  <c r="D38" i="30"/>
  <c r="D40" i="30" s="1"/>
  <c r="C38" i="30"/>
  <c r="C40" i="30" s="1"/>
  <c r="B38" i="30"/>
  <c r="B40" i="30" s="1"/>
  <c r="M37" i="30"/>
  <c r="L37" i="30"/>
  <c r="F37" i="30"/>
  <c r="G37" i="30" s="1"/>
  <c r="M36" i="30"/>
  <c r="L36" i="30"/>
  <c r="G36" i="30"/>
  <c r="F36" i="30"/>
  <c r="M35" i="30"/>
  <c r="L35" i="30"/>
  <c r="F35" i="30"/>
  <c r="G35" i="30" s="1"/>
  <c r="L34" i="30"/>
  <c r="M34" i="30" s="1"/>
  <c r="F34" i="30"/>
  <c r="G34" i="30" s="1"/>
  <c r="M33" i="30"/>
  <c r="L33" i="30"/>
  <c r="F33" i="30"/>
  <c r="G33" i="30" s="1"/>
  <c r="L32" i="30"/>
  <c r="M32" i="30" s="1"/>
  <c r="F32" i="30"/>
  <c r="G32" i="30" s="1"/>
  <c r="M31" i="30"/>
  <c r="L31" i="30"/>
  <c r="G31" i="30"/>
  <c r="F31" i="30"/>
  <c r="L30" i="30"/>
  <c r="M30" i="30" s="1"/>
  <c r="F30" i="30"/>
  <c r="G30" i="30" s="1"/>
  <c r="L29" i="30"/>
  <c r="M29" i="30" s="1"/>
  <c r="F29" i="30"/>
  <c r="G29" i="30" s="1"/>
  <c r="M28" i="30"/>
  <c r="L28" i="30"/>
  <c r="F28" i="30"/>
  <c r="G28" i="30" s="1"/>
  <c r="M19" i="30"/>
  <c r="L19" i="30"/>
  <c r="G19" i="30"/>
  <c r="F19" i="30"/>
  <c r="K18" i="30"/>
  <c r="J18" i="30"/>
  <c r="J20" i="30" s="1"/>
  <c r="I18" i="30"/>
  <c r="H18" i="30"/>
  <c r="H20" i="30" s="1"/>
  <c r="E18" i="30"/>
  <c r="D18" i="30"/>
  <c r="D20" i="30" s="1"/>
  <c r="C18" i="30"/>
  <c r="C20" i="30" s="1"/>
  <c r="B18" i="30"/>
  <c r="B20" i="30" s="1"/>
  <c r="M17" i="30"/>
  <c r="L17" i="30"/>
  <c r="G17" i="30"/>
  <c r="F17" i="30"/>
  <c r="L16" i="30"/>
  <c r="M16" i="30" s="1"/>
  <c r="G16" i="30"/>
  <c r="F16" i="30"/>
  <c r="L15" i="30"/>
  <c r="M15" i="30" s="1"/>
  <c r="F15" i="30"/>
  <c r="G15" i="30" s="1"/>
  <c r="M14" i="30"/>
  <c r="L14" i="30"/>
  <c r="F14" i="30"/>
  <c r="G14" i="30" s="1"/>
  <c r="L13" i="30"/>
  <c r="M13" i="30" s="1"/>
  <c r="G13" i="30"/>
  <c r="F13" i="30"/>
  <c r="L12" i="30"/>
  <c r="M12" i="30" s="1"/>
  <c r="F12" i="30"/>
  <c r="G12" i="30" s="1"/>
  <c r="L11" i="30"/>
  <c r="M11" i="30" s="1"/>
  <c r="G11" i="30"/>
  <c r="F11" i="30"/>
  <c r="M10" i="30"/>
  <c r="L10" i="30"/>
  <c r="F10" i="30"/>
  <c r="G10" i="30" s="1"/>
  <c r="M9" i="30"/>
  <c r="L9" i="30"/>
  <c r="F9" i="30"/>
  <c r="G9" i="30" s="1"/>
  <c r="L8" i="30"/>
  <c r="M8" i="30" s="1"/>
  <c r="F8" i="30"/>
  <c r="G8" i="30" s="1"/>
  <c r="D41" i="36" l="1"/>
  <c r="D42" i="36" s="1"/>
  <c r="L38" i="30"/>
  <c r="M38" i="30" s="1"/>
  <c r="F18" i="30"/>
  <c r="G18" i="30" s="1"/>
  <c r="F59" i="30"/>
  <c r="G59" i="30" s="1"/>
  <c r="L98" i="30"/>
  <c r="M98" i="30" s="1"/>
  <c r="F77" i="30"/>
  <c r="G77" i="30" s="1"/>
  <c r="L57" i="30"/>
  <c r="M57" i="30" s="1"/>
  <c r="L18" i="30"/>
  <c r="M18" i="30" s="1"/>
  <c r="F38" i="30"/>
  <c r="G38" i="30" s="1"/>
  <c r="F98" i="30"/>
  <c r="G98" i="30" s="1"/>
  <c r="L77" i="30"/>
  <c r="M77" i="30" s="1"/>
  <c r="F100" i="30"/>
  <c r="G100" i="30" s="1"/>
  <c r="I20" i="30"/>
  <c r="F57" i="30"/>
  <c r="G57" i="30" s="1"/>
  <c r="K40" i="30"/>
  <c r="L40" i="30" s="1"/>
  <c r="M40" i="30" s="1"/>
  <c r="K79" i="30"/>
  <c r="L79" i="30" s="1"/>
  <c r="M79" i="30" s="1"/>
  <c r="E20" i="30"/>
  <c r="F20" i="30" s="1"/>
  <c r="G20" i="30" s="1"/>
  <c r="E40" i="30"/>
  <c r="F40" i="30" s="1"/>
  <c r="G40" i="30" s="1"/>
  <c r="I59" i="30"/>
  <c r="E79" i="30"/>
  <c r="F79" i="30" s="1"/>
  <c r="G79" i="30" s="1"/>
  <c r="I100" i="30"/>
  <c r="K59" i="30"/>
  <c r="K100" i="30"/>
  <c r="K20" i="30"/>
  <c r="L59" i="30" l="1"/>
  <c r="M59" i="30" s="1"/>
  <c r="L100" i="30"/>
  <c r="M100" i="30" s="1"/>
  <c r="L20" i="30"/>
  <c r="M20" i="30" s="1"/>
  <c r="K4" i="28" l="1"/>
  <c r="I27" i="12" l="1"/>
  <c r="H28" i="12"/>
  <c r="H27" i="12"/>
  <c r="G27" i="12"/>
  <c r="F27" i="12"/>
  <c r="E27" i="12"/>
  <c r="D27" i="12"/>
  <c r="D28" i="12" s="1"/>
  <c r="K6" i="28"/>
  <c r="I28" i="12" l="1"/>
  <c r="J28" i="12" s="1"/>
  <c r="M15" i="22" l="1"/>
  <c r="K8" i="25" l="1"/>
  <c r="R20" i="22" l="1"/>
  <c r="H7" i="24"/>
  <c r="G7" i="24"/>
  <c r="F7" i="24"/>
  <c r="E7" i="24"/>
  <c r="D7" i="24"/>
  <c r="C7" i="24"/>
  <c r="B7" i="24"/>
  <c r="C28" i="12" l="1"/>
  <c r="C27" i="12"/>
  <c r="M47" i="22" l="1"/>
  <c r="N47" i="22" s="1"/>
  <c r="M46" i="22"/>
  <c r="N46" i="22" s="1"/>
  <c r="M45" i="22"/>
  <c r="N45" i="22" s="1"/>
  <c r="M44" i="22"/>
  <c r="N44" i="22" s="1"/>
  <c r="M43" i="22"/>
  <c r="N43" i="22" s="1"/>
  <c r="M42" i="22"/>
  <c r="N42" i="22" s="1"/>
  <c r="M41" i="22"/>
  <c r="N41" i="22" s="1"/>
  <c r="M40" i="22"/>
  <c r="N40" i="22" s="1"/>
  <c r="M34" i="22"/>
  <c r="N34" i="22" s="1"/>
  <c r="M33" i="22"/>
  <c r="N33" i="22" s="1"/>
  <c r="M23" i="22"/>
  <c r="N23" i="22" s="1"/>
  <c r="M18" i="22"/>
  <c r="N18" i="22" s="1"/>
  <c r="H5" i="17"/>
  <c r="G5" i="17"/>
  <c r="H8" i="17"/>
  <c r="G8" i="17"/>
  <c r="H7" i="17"/>
  <c r="G7" i="17"/>
  <c r="H6" i="17"/>
  <c r="G6" i="17"/>
  <c r="D5" i="17"/>
  <c r="K47" i="22"/>
  <c r="L47" i="22" s="1"/>
  <c r="K46" i="22"/>
  <c r="L46" i="22" s="1"/>
  <c r="K45" i="22"/>
  <c r="L45" i="22" s="1"/>
  <c r="K44" i="22"/>
  <c r="L44" i="22" s="1"/>
  <c r="K43" i="22"/>
  <c r="L43" i="22" s="1"/>
  <c r="K42" i="22"/>
  <c r="L42" i="22" s="1"/>
  <c r="K41" i="22"/>
  <c r="L41" i="22" s="1"/>
  <c r="K40" i="22"/>
  <c r="L40" i="22" s="1"/>
  <c r="K18" i="22"/>
  <c r="L18" i="22" s="1"/>
  <c r="R35" i="22"/>
  <c r="R34" i="22"/>
  <c r="R33" i="22"/>
  <c r="R32" i="22"/>
  <c r="R31" i="22"/>
  <c r="R30" i="22"/>
  <c r="R29" i="22"/>
  <c r="R28" i="22"/>
  <c r="R27" i="22"/>
  <c r="R26" i="22"/>
  <c r="R25" i="22"/>
  <c r="R24" i="22"/>
  <c r="R23" i="22"/>
  <c r="R22" i="22"/>
  <c r="R21" i="22"/>
  <c r="R19" i="22"/>
  <c r="R18" i="22"/>
  <c r="R16" i="22"/>
  <c r="R15" i="22"/>
  <c r="R12" i="22"/>
  <c r="R11" i="22"/>
  <c r="R8" i="22"/>
  <c r="R17" i="22"/>
  <c r="R53" i="22"/>
  <c r="R52" i="22"/>
  <c r="R51" i="22"/>
  <c r="R50" i="22"/>
  <c r="R49" i="22"/>
  <c r="R48" i="22"/>
  <c r="R47" i="22"/>
  <c r="R46" i="22"/>
  <c r="R45" i="22"/>
  <c r="R44" i="22"/>
  <c r="R43" i="22"/>
  <c r="R42" i="22"/>
  <c r="R41" i="22"/>
  <c r="R40" i="22"/>
  <c r="R39" i="22"/>
  <c r="R38" i="22"/>
  <c r="R37" i="22"/>
  <c r="R36" i="22"/>
  <c r="R7" i="22"/>
  <c r="R6" i="22"/>
  <c r="J53" i="22"/>
  <c r="K53" i="22" s="1"/>
  <c r="L53" i="22" s="1"/>
  <c r="J52" i="22"/>
  <c r="K52" i="22" s="1"/>
  <c r="L52" i="22" s="1"/>
  <c r="J51" i="22"/>
  <c r="K51" i="22" s="1"/>
  <c r="L51" i="22" s="1"/>
  <c r="J50" i="22"/>
  <c r="K50" i="22" s="1"/>
  <c r="L50" i="22" s="1"/>
  <c r="J49" i="22"/>
  <c r="K49" i="22" s="1"/>
  <c r="L49" i="22" s="1"/>
  <c r="J39" i="22"/>
  <c r="J37" i="22"/>
  <c r="K37" i="22" s="1"/>
  <c r="L37" i="22" s="1"/>
  <c r="J35" i="22"/>
  <c r="N35" i="22" s="1"/>
  <c r="J34" i="22"/>
  <c r="K34" i="22" s="1"/>
  <c r="L34" i="22" s="1"/>
  <c r="J33" i="22"/>
  <c r="J32" i="22"/>
  <c r="K32" i="22" s="1"/>
  <c r="L32" i="22" s="1"/>
  <c r="J31" i="22"/>
  <c r="K31" i="22" s="1"/>
  <c r="L31" i="22" s="1"/>
  <c r="J30" i="22"/>
  <c r="K30" i="22" s="1"/>
  <c r="L30" i="22" s="1"/>
  <c r="J29" i="22"/>
  <c r="K29" i="22" s="1"/>
  <c r="L29" i="22" s="1"/>
  <c r="J28" i="22"/>
  <c r="K28" i="22" s="1"/>
  <c r="L28" i="22" s="1"/>
  <c r="J26" i="22"/>
  <c r="J25" i="22"/>
  <c r="J24" i="22"/>
  <c r="K24" i="22" s="1"/>
  <c r="L24" i="22" s="1"/>
  <c r="J23" i="22"/>
  <c r="K23" i="22" s="1"/>
  <c r="L23" i="22" s="1"/>
  <c r="J20" i="22"/>
  <c r="K20" i="22" s="1"/>
  <c r="L20" i="22" s="1"/>
  <c r="J19" i="22"/>
  <c r="K19" i="22" s="1"/>
  <c r="K64" i="22" s="1"/>
  <c r="J17" i="22"/>
  <c r="J16" i="22"/>
  <c r="J15" i="22"/>
  <c r="J14" i="22"/>
  <c r="J13" i="22"/>
  <c r="J11" i="22"/>
  <c r="J8" i="22"/>
  <c r="G26" i="22"/>
  <c r="G25" i="22"/>
  <c r="G48" i="22"/>
  <c r="H48" i="22" s="1"/>
  <c r="J48" i="22" s="1"/>
  <c r="M48" i="22" s="1"/>
  <c r="N48" i="22" s="1"/>
  <c r="G39" i="22"/>
  <c r="G38" i="22"/>
  <c r="G36" i="22"/>
  <c r="G35" i="22"/>
  <c r="G33" i="22"/>
  <c r="G27" i="22"/>
  <c r="I27" i="22" s="1"/>
  <c r="J27" i="22" s="1"/>
  <c r="G22" i="22"/>
  <c r="I22" i="22" s="1"/>
  <c r="J22" i="22" s="1"/>
  <c r="G21" i="22"/>
  <c r="I21" i="22" s="1"/>
  <c r="J21" i="22" s="1"/>
  <c r="G17" i="22"/>
  <c r="G16" i="22"/>
  <c r="G15" i="22"/>
  <c r="G13" i="22"/>
  <c r="G12" i="22" s="1"/>
  <c r="G11" i="22"/>
  <c r="G10" i="22"/>
  <c r="G9" i="22"/>
  <c r="G7" i="22"/>
  <c r="G6" i="22"/>
  <c r="F48" i="22"/>
  <c r="E48" i="22"/>
  <c r="F39" i="22"/>
  <c r="E39" i="22"/>
  <c r="M39" i="22" s="1"/>
  <c r="N39" i="22" s="1"/>
  <c r="H13" i="22"/>
  <c r="F36" i="22"/>
  <c r="K36" i="22" s="1"/>
  <c r="L36" i="22" s="1"/>
  <c r="E36" i="22"/>
  <c r="M36" i="22" s="1"/>
  <c r="N36" i="22" s="1"/>
  <c r="F35" i="22"/>
  <c r="E35" i="22"/>
  <c r="F33" i="22"/>
  <c r="E33" i="22"/>
  <c r="M31" i="22" l="1"/>
  <c r="N31" i="22" s="1"/>
  <c r="M24" i="22"/>
  <c r="N24" i="22" s="1"/>
  <c r="M32" i="22"/>
  <c r="N32" i="22" s="1"/>
  <c r="M19" i="22"/>
  <c r="N19" i="22" s="1"/>
  <c r="M51" i="22"/>
  <c r="N51" i="22" s="1"/>
  <c r="M20" i="22"/>
  <c r="N20" i="22" s="1"/>
  <c r="M28" i="22"/>
  <c r="N28" i="22" s="1"/>
  <c r="M52" i="22"/>
  <c r="N52" i="22" s="1"/>
  <c r="M49" i="22"/>
  <c r="N49" i="22" s="1"/>
  <c r="M50" i="22"/>
  <c r="N50" i="22" s="1"/>
  <c r="M29" i="22"/>
  <c r="N29" i="22" s="1"/>
  <c r="M37" i="22"/>
  <c r="N37" i="22" s="1"/>
  <c r="M53" i="22"/>
  <c r="N53" i="22" s="1"/>
  <c r="M30" i="22"/>
  <c r="N30" i="22" s="1"/>
  <c r="G8" i="22"/>
  <c r="K35" i="22"/>
  <c r="L35" i="22" s="1"/>
  <c r="K33" i="22"/>
  <c r="L33" i="22" s="1"/>
  <c r="K48" i="22"/>
  <c r="L48" i="22" s="1"/>
  <c r="K39" i="22"/>
  <c r="L39" i="22" s="1"/>
  <c r="L19" i="22"/>
  <c r="H27" i="22"/>
  <c r="F27" i="22" l="1"/>
  <c r="K27" i="22" s="1"/>
  <c r="L27" i="22" s="1"/>
  <c r="F26" i="22"/>
  <c r="K26" i="22" s="1"/>
  <c r="L26" i="22" s="1"/>
  <c r="F25" i="22"/>
  <c r="K25" i="22" s="1"/>
  <c r="L25" i="22" s="1"/>
  <c r="F22" i="22"/>
  <c r="K22" i="22" s="1"/>
  <c r="L22" i="22" s="1"/>
  <c r="F21" i="22"/>
  <c r="K21" i="22" s="1"/>
  <c r="L21" i="22" s="1"/>
  <c r="F17" i="22"/>
  <c r="K17" i="22" s="1"/>
  <c r="F16" i="22"/>
  <c r="K16" i="22" s="1"/>
  <c r="F15" i="22"/>
  <c r="K15" i="22" s="1"/>
  <c r="L15" i="22" s="1"/>
  <c r="F14" i="22"/>
  <c r="F11" i="22"/>
  <c r="K11" i="22" s="1"/>
  <c r="L11" i="22" s="1"/>
  <c r="F10" i="22"/>
  <c r="K10" i="22" s="1"/>
  <c r="L10" i="22" s="1"/>
  <c r="F9" i="22"/>
  <c r="K9" i="22" s="1"/>
  <c r="L9" i="22" s="1"/>
  <c r="F7" i="22"/>
  <c r="K7" i="22" s="1"/>
  <c r="F6" i="22"/>
  <c r="K6" i="22" s="1"/>
  <c r="E27" i="22"/>
  <c r="M27" i="22" s="1"/>
  <c r="N27" i="22" s="1"/>
  <c r="E26" i="22"/>
  <c r="M26" i="22" s="1"/>
  <c r="N26" i="22" s="1"/>
  <c r="E25" i="22"/>
  <c r="M25" i="22" s="1"/>
  <c r="N25" i="22" s="1"/>
  <c r="E22" i="22"/>
  <c r="M22" i="22" s="1"/>
  <c r="N22" i="22" s="1"/>
  <c r="E21" i="22"/>
  <c r="M21" i="22" s="1"/>
  <c r="N21" i="22" s="1"/>
  <c r="E17" i="22"/>
  <c r="M17" i="22" s="1"/>
  <c r="N17" i="22" s="1"/>
  <c r="E16" i="22"/>
  <c r="M16" i="22" s="1"/>
  <c r="N16" i="22" s="1"/>
  <c r="E15" i="22"/>
  <c r="N15" i="22" s="1"/>
  <c r="E14" i="22"/>
  <c r="E13" i="22" l="1"/>
  <c r="M14" i="22"/>
  <c r="N14" i="22" s="1"/>
  <c r="L7" i="22"/>
  <c r="K62" i="22"/>
  <c r="L16" i="22"/>
  <c r="K63" i="22"/>
  <c r="L17" i="22"/>
  <c r="K65" i="22"/>
  <c r="L6" i="22"/>
  <c r="F13" i="22"/>
  <c r="K14" i="22"/>
  <c r="L14" i="22" s="1"/>
  <c r="F8" i="22"/>
  <c r="K8" i="22" s="1"/>
  <c r="L8" i="22" s="1"/>
  <c r="E11" i="22"/>
  <c r="M11" i="22" s="1"/>
  <c r="N11" i="22" s="1"/>
  <c r="E10" i="22"/>
  <c r="M10" i="22" s="1"/>
  <c r="N10" i="22" s="1"/>
  <c r="E9" i="22"/>
  <c r="M9" i="22" s="1"/>
  <c r="N9" i="22" s="1"/>
  <c r="E7" i="22"/>
  <c r="M7" i="22" s="1"/>
  <c r="N7" i="22" s="1"/>
  <c r="E6" i="22"/>
  <c r="M6" i="22" s="1"/>
  <c r="G28" i="12"/>
  <c r="F28" i="12"/>
  <c r="E28" i="12"/>
  <c r="I12" i="22"/>
  <c r="J12" i="22" s="1"/>
  <c r="I26" i="12"/>
  <c r="J26" i="12" s="1"/>
  <c r="I25" i="12"/>
  <c r="J25" i="12" s="1"/>
  <c r="I24" i="12"/>
  <c r="J24" i="12" s="1"/>
  <c r="I23" i="12"/>
  <c r="J23" i="12" s="1"/>
  <c r="I22" i="12"/>
  <c r="J22" i="12" s="1"/>
  <c r="I21" i="12"/>
  <c r="J21" i="12" s="1"/>
  <c r="I20" i="12"/>
  <c r="J20" i="12" s="1"/>
  <c r="I19" i="12"/>
  <c r="J19" i="12" s="1"/>
  <c r="I18" i="12"/>
  <c r="J18" i="12" s="1"/>
  <c r="I17" i="12"/>
  <c r="J17" i="12" s="1"/>
  <c r="I16" i="12"/>
  <c r="J16" i="12" s="1"/>
  <c r="I15" i="12"/>
  <c r="J15" i="12" s="1"/>
  <c r="I14" i="12"/>
  <c r="J14" i="12" s="1"/>
  <c r="I13" i="12"/>
  <c r="J13" i="12" s="1"/>
  <c r="I12" i="12"/>
  <c r="J12" i="12" s="1"/>
  <c r="I11" i="12"/>
  <c r="J11" i="12" s="1"/>
  <c r="I10" i="12"/>
  <c r="J10" i="12" s="1"/>
  <c r="I9" i="12"/>
  <c r="J9" i="12" s="1"/>
  <c r="I8" i="12"/>
  <c r="J8" i="12" s="1"/>
  <c r="I7" i="12"/>
  <c r="J7" i="12" s="1"/>
  <c r="I6" i="12"/>
  <c r="J6" i="12" s="1"/>
  <c r="K11" i="25"/>
  <c r="J11" i="25"/>
  <c r="K10" i="25"/>
  <c r="J10" i="25"/>
  <c r="K9" i="25"/>
  <c r="J9" i="25"/>
  <c r="J8" i="25"/>
  <c r="K7" i="25"/>
  <c r="J7" i="25"/>
  <c r="N6" i="22" l="1"/>
  <c r="E12" i="22"/>
  <c r="M12" i="22" s="1"/>
  <c r="N12" i="22" s="1"/>
  <c r="M13" i="22"/>
  <c r="N13" i="22" s="1"/>
  <c r="F12" i="22"/>
  <c r="K12" i="22" s="1"/>
  <c r="L12" i="22" s="1"/>
  <c r="K13" i="22"/>
  <c r="L13" i="22" s="1"/>
  <c r="E8" i="22"/>
  <c r="M8" i="22" s="1"/>
  <c r="N8" i="22" s="1"/>
  <c r="J27" i="12" l="1"/>
  <c r="I35" i="12"/>
  <c r="CG3" i="20" l="1"/>
  <c r="CF3" i="20"/>
  <c r="CE3" i="20"/>
  <c r="CD3" i="20"/>
  <c r="CC3" i="20"/>
  <c r="CB3" i="20"/>
  <c r="CA3" i="20"/>
  <c r="BZ3" i="20"/>
  <c r="BY3" i="20"/>
  <c r="BX3" i="20"/>
  <c r="BW3" i="20"/>
  <c r="BV3" i="20"/>
  <c r="BU3" i="20"/>
  <c r="BT3" i="20"/>
  <c r="BS3" i="20"/>
  <c r="BR3" i="20"/>
  <c r="BQ3" i="20"/>
  <c r="BP3" i="20"/>
  <c r="BO3" i="20"/>
  <c r="BN3" i="20"/>
  <c r="BM3" i="20"/>
  <c r="BL3" i="20"/>
  <c r="BK3" i="20"/>
  <c r="BJ3" i="20"/>
  <c r="BI3" i="20"/>
  <c r="BH3" i="20"/>
  <c r="BG3" i="20"/>
  <c r="BF3" i="20"/>
  <c r="BE3" i="20"/>
  <c r="BD3" i="20"/>
  <c r="BC3" i="20"/>
  <c r="BB3" i="20"/>
  <c r="BA3" i="20"/>
  <c r="AZ3" i="20"/>
  <c r="AY3" i="20"/>
  <c r="AX3" i="20"/>
  <c r="AW3" i="20"/>
  <c r="AV3" i="20"/>
  <c r="AU3" i="20"/>
  <c r="AT3" i="20"/>
  <c r="AS3" i="20"/>
  <c r="AR3" i="20"/>
  <c r="AQ3" i="20"/>
  <c r="AP3"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8" i="20"/>
  <c r="CD4" i="19"/>
  <c r="CC4" i="19"/>
  <c r="CB4" i="19"/>
  <c r="CA4" i="19"/>
  <c r="BZ4" i="19"/>
  <c r="BY4" i="19"/>
  <c r="BX4" i="19"/>
  <c r="BW4" i="19"/>
  <c r="BV4" i="19"/>
  <c r="BU4" i="19"/>
  <c r="BT4" i="19"/>
  <c r="BS4" i="19"/>
  <c r="BR4" i="19"/>
  <c r="BQ4" i="19"/>
  <c r="BP4" i="19"/>
  <c r="BO4" i="19"/>
  <c r="BN4" i="19"/>
  <c r="BM4" i="19"/>
  <c r="BL4" i="19"/>
  <c r="BK4" i="19"/>
  <c r="BJ4" i="19"/>
  <c r="BI4" i="19"/>
  <c r="BH4" i="19"/>
  <c r="BG4" i="19"/>
  <c r="BF4" i="19"/>
  <c r="BE4" i="19"/>
  <c r="BD4" i="19"/>
  <c r="BC4" i="19"/>
  <c r="BB4" i="19"/>
  <c r="BA4" i="19"/>
  <c r="AZ4" i="19"/>
  <c r="AY4" i="19"/>
  <c r="AX4" i="19"/>
  <c r="AW4" i="19"/>
  <c r="AV4" i="19"/>
  <c r="AU4" i="19"/>
  <c r="AT4" i="19"/>
  <c r="AS4" i="19"/>
  <c r="AR4" i="19"/>
  <c r="AQ4" i="19"/>
  <c r="AP4" i="19"/>
  <c r="AO4" i="19"/>
  <c r="AN4" i="19"/>
  <c r="AM4" i="19"/>
  <c r="AL4" i="19"/>
  <c r="AK4" i="19"/>
  <c r="AJ4" i="19"/>
  <c r="AI4" i="19"/>
  <c r="AH4" i="19"/>
  <c r="AG4" i="19"/>
  <c r="AF4" i="19"/>
  <c r="AE4" i="19"/>
  <c r="AD4" i="19"/>
  <c r="AC4" i="19"/>
  <c r="AB4" i="19"/>
  <c r="AA4" i="19"/>
  <c r="Z4" i="19"/>
  <c r="Y4" i="19"/>
  <c r="X4" i="19"/>
  <c r="W4" i="19"/>
  <c r="V4" i="19"/>
  <c r="U4" i="19"/>
  <c r="T4" i="19"/>
  <c r="S4" i="19"/>
  <c r="R4" i="19"/>
  <c r="Q4" i="19"/>
  <c r="P4" i="19"/>
  <c r="O4" i="19"/>
  <c r="N4" i="19"/>
  <c r="M4" i="19"/>
  <c r="L4" i="19"/>
  <c r="K4" i="19"/>
  <c r="J4" i="19"/>
  <c r="I4" i="19"/>
  <c r="H4" i="19"/>
  <c r="G4" i="19"/>
  <c r="F4"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132" i="19"/>
  <c r="A133" i="19"/>
  <c r="A134" i="19"/>
  <c r="A135" i="19"/>
  <c r="A136" i="19"/>
  <c r="A137" i="19"/>
  <c r="A138" i="19"/>
  <c r="A139" i="19"/>
  <c r="A140" i="19"/>
  <c r="A141" i="19"/>
  <c r="A142" i="19"/>
  <c r="A143" i="19"/>
  <c r="A144" i="19"/>
  <c r="A145" i="19"/>
  <c r="A146" i="19"/>
  <c r="A147" i="19"/>
  <c r="A148" i="19"/>
  <c r="A149" i="19"/>
  <c r="A150" i="19"/>
  <c r="A151" i="19"/>
  <c r="A152" i="19"/>
  <c r="A153" i="19"/>
  <c r="A154" i="19"/>
  <c r="A155" i="19"/>
  <c r="A156" i="19"/>
  <c r="A157" i="19"/>
  <c r="A158" i="19"/>
  <c r="A159" i="19"/>
  <c r="A160" i="19"/>
  <c r="A161" i="19"/>
  <c r="A162" i="19"/>
  <c r="A163" i="19"/>
  <c r="A164" i="19"/>
  <c r="A165" i="19"/>
  <c r="A166" i="19"/>
  <c r="A167" i="19"/>
  <c r="A168" i="19"/>
  <c r="A169" i="19"/>
  <c r="A170" i="19"/>
  <c r="A171" i="19"/>
  <c r="A172" i="19"/>
  <c r="A173" i="19"/>
  <c r="A174" i="19"/>
  <c r="A175" i="19"/>
  <c r="A176" i="19"/>
  <c r="A177" i="19"/>
  <c r="A178" i="19"/>
  <c r="A179" i="19"/>
  <c r="A180" i="19"/>
  <c r="A181" i="19"/>
  <c r="A182" i="19"/>
  <c r="A183" i="19"/>
  <c r="A184" i="19"/>
  <c r="A185" i="19"/>
  <c r="A186" i="19"/>
  <c r="A187" i="19"/>
  <c r="A188" i="19"/>
  <c r="A189" i="19"/>
  <c r="A190" i="19"/>
  <c r="A191" i="19"/>
  <c r="A192" i="19"/>
  <c r="A193" i="19"/>
  <c r="A194" i="19"/>
  <c r="A195" i="19"/>
  <c r="A196" i="19"/>
  <c r="A197" i="19"/>
  <c r="A198" i="19"/>
  <c r="A199" i="19"/>
  <c r="A200" i="19"/>
  <c r="A201" i="19"/>
  <c r="A202" i="19"/>
  <c r="A203" i="19"/>
  <c r="A204" i="19"/>
  <c r="A205" i="19"/>
  <c r="A206" i="19"/>
  <c r="A207" i="19"/>
  <c r="A208" i="19"/>
  <c r="A209" i="19"/>
  <c r="A210" i="19"/>
  <c r="A211" i="19"/>
  <c r="A212" i="19"/>
  <c r="A213" i="19"/>
  <c r="A214" i="19"/>
  <c r="A215" i="19"/>
  <c r="A216" i="19"/>
  <c r="A217" i="19"/>
  <c r="A218" i="19"/>
  <c r="A219" i="19"/>
  <c r="A220" i="19"/>
  <c r="A221" i="19"/>
  <c r="A222" i="19"/>
  <c r="A223" i="19"/>
  <c r="A224" i="19"/>
  <c r="A225" i="19"/>
  <c r="A226" i="19"/>
  <c r="A227" i="19"/>
  <c r="A228" i="19"/>
  <c r="A229" i="19"/>
  <c r="A230" i="19"/>
  <c r="A231" i="19"/>
  <c r="A232" i="19"/>
  <c r="A233" i="19"/>
  <c r="A234" i="19"/>
  <c r="A235" i="19"/>
  <c r="A236" i="19"/>
  <c r="A237" i="19"/>
  <c r="A238" i="19"/>
  <c r="A239" i="19"/>
  <c r="A240" i="19"/>
  <c r="A241" i="19"/>
  <c r="A242" i="19"/>
  <c r="A243" i="19"/>
  <c r="A244" i="19"/>
  <c r="A245" i="19"/>
  <c r="A246" i="19"/>
  <c r="A247" i="19"/>
  <c r="A248" i="19"/>
  <c r="A249" i="19"/>
  <c r="A250" i="19"/>
  <c r="A251" i="19"/>
  <c r="A252" i="19"/>
  <c r="A253" i="19"/>
  <c r="A9" i="19"/>
  <c r="Y27" i="1" l="1"/>
  <c r="X15" i="1"/>
  <c r="W17" i="1"/>
  <c r="U22" i="1"/>
  <c r="V23" i="1"/>
  <c r="U19" i="1"/>
  <c r="U18" i="1" s="1"/>
  <c r="T29" i="1"/>
  <c r="S16" i="1"/>
  <c r="R27" i="1"/>
  <c r="Q31" i="1"/>
  <c r="U13" i="1"/>
  <c r="S19" i="14"/>
  <c r="S18" i="14" s="1"/>
  <c r="S22" i="14"/>
  <c r="S13" i="14"/>
  <c r="W27" i="14"/>
  <c r="V15" i="14"/>
  <c r="U17" i="14"/>
  <c r="T23" i="14"/>
  <c r="T24" i="14"/>
  <c r="R29" i="14"/>
  <c r="O18" i="14"/>
  <c r="Q16" i="14"/>
  <c r="P27" i="14"/>
  <c r="O31" i="14"/>
  <c r="V24" i="1"/>
  <c r="J28" i="1"/>
  <c r="AC28" i="1" s="1"/>
  <c r="F31" i="1"/>
  <c r="J31" i="1" s="1"/>
  <c r="F30" i="1"/>
  <c r="J30" i="1" s="1"/>
  <c r="F28" i="1"/>
  <c r="V22" i="1" l="1"/>
  <c r="U28" i="1"/>
  <c r="U34" i="1" s="1"/>
  <c r="U35" i="1" s="1"/>
  <c r="S28" i="14"/>
  <c r="S34" i="14" s="1"/>
  <c r="S35" i="14" s="1"/>
  <c r="F6" i="18"/>
  <c r="F11" i="18" s="1"/>
  <c r="E11" i="18"/>
  <c r="K28" i="1" l="1"/>
  <c r="L28" i="1" s="1"/>
  <c r="E48" i="1"/>
  <c r="E47" i="1"/>
  <c r="E32" i="1"/>
  <c r="E33" i="1"/>
  <c r="F33" i="1" s="1"/>
  <c r="J33" i="1" s="1"/>
  <c r="E8" i="17"/>
  <c r="D8" i="17"/>
  <c r="E7" i="17"/>
  <c r="D7" i="17"/>
  <c r="E6" i="17"/>
  <c r="E5" i="17"/>
  <c r="E34" i="1" l="1"/>
  <c r="E45" i="1" s="1"/>
  <c r="G48" i="1" s="1"/>
  <c r="F32" i="1"/>
  <c r="G47" i="1" l="1"/>
  <c r="J32" i="1"/>
  <c r="J34" i="1" s="1"/>
  <c r="AC34" i="1" s="1"/>
  <c r="F34" i="1"/>
  <c r="D6" i="17"/>
  <c r="I30" i="15"/>
  <c r="J30" i="15" s="1"/>
  <c r="H30" i="15"/>
  <c r="H17" i="15"/>
  <c r="I17" i="15"/>
  <c r="J17" i="15" s="1"/>
  <c r="C29" i="15"/>
  <c r="G29" i="15" s="1"/>
  <c r="H29" i="15" s="1"/>
  <c r="C16" i="15"/>
  <c r="G16" i="15" s="1"/>
  <c r="H16" i="15" s="1"/>
  <c r="Y13" i="14"/>
  <c r="D35" i="14"/>
  <c r="N34" i="14"/>
  <c r="G34" i="14"/>
  <c r="G35" i="14" s="1"/>
  <c r="F34" i="14"/>
  <c r="F35" i="14" s="1"/>
  <c r="E34" i="14"/>
  <c r="E35" i="14" s="1"/>
  <c r="N33" i="14"/>
  <c r="H33" i="14"/>
  <c r="N32" i="14"/>
  <c r="H32" i="14"/>
  <c r="N31" i="14"/>
  <c r="H31" i="14"/>
  <c r="N30" i="14"/>
  <c r="Z30" i="14" s="1"/>
  <c r="H30" i="14"/>
  <c r="N29" i="14"/>
  <c r="H29" i="14"/>
  <c r="H28" i="14"/>
  <c r="AA28" i="14" s="1"/>
  <c r="N27" i="14"/>
  <c r="N26" i="14"/>
  <c r="Z26" i="14" s="1"/>
  <c r="N25" i="14"/>
  <c r="N24" i="14"/>
  <c r="N23" i="14"/>
  <c r="Y22" i="14"/>
  <c r="X22" i="14"/>
  <c r="W22" i="14"/>
  <c r="V22" i="14"/>
  <c r="U22" i="14"/>
  <c r="T22" i="14"/>
  <c r="Q22" i="14"/>
  <c r="P22" i="14"/>
  <c r="O22" i="14"/>
  <c r="N21" i="14"/>
  <c r="Z21" i="14" s="1"/>
  <c r="N20" i="14"/>
  <c r="N19" i="14" s="1"/>
  <c r="Y18" i="14"/>
  <c r="W18" i="14"/>
  <c r="V18" i="14"/>
  <c r="U18" i="14"/>
  <c r="T18" i="14"/>
  <c r="R18" i="14"/>
  <c r="Q18" i="14"/>
  <c r="P18" i="14"/>
  <c r="N17" i="14"/>
  <c r="Z17" i="14" s="1"/>
  <c r="N16" i="14"/>
  <c r="Z16" i="14" s="1"/>
  <c r="N15" i="14"/>
  <c r="N14" i="14"/>
  <c r="Z14" i="14" s="1"/>
  <c r="X13" i="14"/>
  <c r="W13" i="14"/>
  <c r="V13" i="14"/>
  <c r="U13" i="14"/>
  <c r="T13" i="14"/>
  <c r="R13" i="14"/>
  <c r="Q13" i="14"/>
  <c r="P13" i="14"/>
  <c r="O13" i="14"/>
  <c r="N11" i="14"/>
  <c r="Z11" i="14" s="1"/>
  <c r="N10" i="14"/>
  <c r="Z10" i="14" s="1"/>
  <c r="N9" i="14"/>
  <c r="X22" i="1"/>
  <c r="X18" i="1"/>
  <c r="V18" i="1"/>
  <c r="X13" i="1"/>
  <c r="V13" i="1"/>
  <c r="X28" i="1" l="1"/>
  <c r="V28" i="1"/>
  <c r="V34" i="1" s="1"/>
  <c r="V35" i="1" s="1"/>
  <c r="W28" i="14"/>
  <c r="U28" i="14"/>
  <c r="U34" i="14" s="1"/>
  <c r="U35" i="14" s="1"/>
  <c r="O28" i="14"/>
  <c r="O34" i="14" s="1"/>
  <c r="V28" i="14"/>
  <c r="K31" i="14"/>
  <c r="L31" i="14" s="1"/>
  <c r="I32" i="14"/>
  <c r="J32" i="14" s="1"/>
  <c r="K32" i="14"/>
  <c r="L32" i="14" s="1"/>
  <c r="K29" i="14"/>
  <c r="L29" i="14" s="1"/>
  <c r="K33" i="14"/>
  <c r="L33" i="14" s="1"/>
  <c r="K30" i="14"/>
  <c r="L30" i="14" s="1"/>
  <c r="Z9" i="14"/>
  <c r="Z25" i="14"/>
  <c r="Z32" i="14"/>
  <c r="Z15" i="14"/>
  <c r="Z27" i="14"/>
  <c r="N12" i="14"/>
  <c r="Z12" i="14" s="1"/>
  <c r="Z33" i="14"/>
  <c r="R22" i="14"/>
  <c r="R28" i="14" s="1"/>
  <c r="R34" i="14" s="1"/>
  <c r="R35" i="14" s="1"/>
  <c r="Z24" i="14"/>
  <c r="Q28" i="14"/>
  <c r="Q34" i="14" s="1"/>
  <c r="Q35" i="14" s="1"/>
  <c r="N22" i="14"/>
  <c r="P28" i="14"/>
  <c r="P34" i="14" s="1"/>
  <c r="P35" i="14" s="1"/>
  <c r="Y28" i="14"/>
  <c r="Y34" i="14" s="1"/>
  <c r="Y35" i="14" s="1"/>
  <c r="T28" i="14"/>
  <c r="T34" i="14" s="1"/>
  <c r="T35" i="14" s="1"/>
  <c r="I28" i="14"/>
  <c r="J28" i="14" s="1"/>
  <c r="I30" i="14"/>
  <c r="J30" i="14" s="1"/>
  <c r="AA30" i="14"/>
  <c r="AB30" i="14" s="1"/>
  <c r="N18" i="14"/>
  <c r="Z19" i="14"/>
  <c r="AA29" i="14"/>
  <c r="I29" i="14"/>
  <c r="J29" i="14" s="1"/>
  <c r="I33" i="14"/>
  <c r="J33" i="14" s="1"/>
  <c r="AA33" i="14"/>
  <c r="I31" i="14"/>
  <c r="J31" i="14" s="1"/>
  <c r="AA31" i="14"/>
  <c r="Z23" i="14"/>
  <c r="N13" i="14"/>
  <c r="Z13" i="14" s="1"/>
  <c r="H34" i="14"/>
  <c r="K34" i="14" s="1"/>
  <c r="L34" i="14" s="1"/>
  <c r="AA32" i="14"/>
  <c r="AA22" i="1"/>
  <c r="AA18" i="1"/>
  <c r="AA13" i="1"/>
  <c r="Z29" i="14"/>
  <c r="X34" i="1" l="1"/>
  <c r="X35" i="1" s="1"/>
  <c r="N28" i="14"/>
  <c r="AB32" i="14"/>
  <c r="AB29" i="14"/>
  <c r="V34" i="14"/>
  <c r="V35" i="14" s="1"/>
  <c r="AB33" i="14"/>
  <c r="Z22" i="14"/>
  <c r="O35" i="14"/>
  <c r="H35" i="14"/>
  <c r="I34" i="14"/>
  <c r="J34" i="14" s="1"/>
  <c r="AA34" i="14"/>
  <c r="Z31" i="14"/>
  <c r="AB31" i="14" s="1"/>
  <c r="Y22" i="1"/>
  <c r="Y18" i="1"/>
  <c r="Y13" i="1"/>
  <c r="Q18" i="1"/>
  <c r="P9" i="1"/>
  <c r="AB9" i="1" s="1"/>
  <c r="P10" i="1"/>
  <c r="AB10" i="1" s="1"/>
  <c r="P11" i="1"/>
  <c r="AB11" i="1" s="1"/>
  <c r="P14" i="1"/>
  <c r="P15" i="1"/>
  <c r="AB15" i="1" s="1"/>
  <c r="P16" i="1"/>
  <c r="P17" i="1"/>
  <c r="AB17" i="1" s="1"/>
  <c r="P20" i="1"/>
  <c r="P19" i="1" s="1"/>
  <c r="P21" i="1"/>
  <c r="AB21" i="1" s="1"/>
  <c r="P23" i="1"/>
  <c r="P24" i="1"/>
  <c r="P25" i="1"/>
  <c r="AA25" i="1" s="1"/>
  <c r="AA28" i="1" s="1"/>
  <c r="P26" i="1"/>
  <c r="AB26" i="1" s="1"/>
  <c r="P27" i="1"/>
  <c r="P29" i="1"/>
  <c r="P30" i="1"/>
  <c r="AB30" i="1" s="1"/>
  <c r="P31" i="1"/>
  <c r="P32" i="1"/>
  <c r="AA32" i="1" s="1"/>
  <c r="P33" i="1"/>
  <c r="AA33" i="1" s="1"/>
  <c r="P34" i="1"/>
  <c r="W22" i="1"/>
  <c r="S22" i="1"/>
  <c r="R22" i="1"/>
  <c r="W18" i="1"/>
  <c r="S18" i="1"/>
  <c r="R18" i="1"/>
  <c r="W13" i="1"/>
  <c r="S13" i="1"/>
  <c r="R13" i="1"/>
  <c r="Q22" i="1"/>
  <c r="Q13" i="1"/>
  <c r="Z22" i="1"/>
  <c r="Z13" i="1"/>
  <c r="AA34" i="1" l="1"/>
  <c r="AA35" i="1" s="1"/>
  <c r="O46" i="14"/>
  <c r="K28" i="14"/>
  <c r="L28" i="14" s="1"/>
  <c r="O45" i="14"/>
  <c r="E29" i="15"/>
  <c r="E16" i="15"/>
  <c r="W34" i="14"/>
  <c r="W35" i="14" s="1"/>
  <c r="Z20" i="14"/>
  <c r="X18" i="14"/>
  <c r="X28" i="14" s="1"/>
  <c r="AA35" i="14"/>
  <c r="N35" i="14"/>
  <c r="AB29" i="1"/>
  <c r="AB16" i="1"/>
  <c r="AB25" i="1"/>
  <c r="P12" i="1"/>
  <c r="AB12" i="1" s="1"/>
  <c r="AB14" i="1"/>
  <c r="P18" i="1"/>
  <c r="AB19" i="1"/>
  <c r="Y28" i="1"/>
  <c r="AB24" i="1"/>
  <c r="AB31" i="1"/>
  <c r="S28" i="1"/>
  <c r="S34" i="1" s="1"/>
  <c r="S35" i="1" s="1"/>
  <c r="P22" i="1"/>
  <c r="P13" i="1"/>
  <c r="W28" i="1"/>
  <c r="W34" i="1" s="1"/>
  <c r="W35" i="1" s="1"/>
  <c r="R28" i="1"/>
  <c r="R34" i="1" s="1"/>
  <c r="R35" i="1" s="1"/>
  <c r="Q28" i="1"/>
  <c r="Q34" i="1" s="1"/>
  <c r="Q35" i="1" l="1"/>
  <c r="I29" i="15"/>
  <c r="J29" i="15" s="1"/>
  <c r="D29" i="15"/>
  <c r="I16" i="15"/>
  <c r="J16" i="15" s="1"/>
  <c r="D16" i="15"/>
  <c r="Z18" i="14"/>
  <c r="AB27" i="1"/>
  <c r="P28" i="1"/>
  <c r="M28" i="1" s="1"/>
  <c r="N28" i="1" s="1"/>
  <c r="Z28" i="14" l="1"/>
  <c r="AB28" i="14" s="1"/>
  <c r="P35" i="1"/>
  <c r="Z34" i="14" l="1"/>
  <c r="E11" i="4"/>
  <c r="F11" i="4" s="1"/>
  <c r="E10" i="4"/>
  <c r="F10" i="4" s="1"/>
  <c r="E9" i="4"/>
  <c r="F9" i="4" s="1"/>
  <c r="G9" i="4" s="1"/>
  <c r="E8" i="4"/>
  <c r="F8" i="4" s="1"/>
  <c r="G8" i="4" s="1"/>
  <c r="E7" i="4"/>
  <c r="F7" i="4" s="1"/>
  <c r="G7" i="4" s="1"/>
  <c r="E6" i="4"/>
  <c r="F6" i="4" s="1"/>
  <c r="G6" i="4" s="1"/>
  <c r="D12" i="4"/>
  <c r="D13" i="4" s="1"/>
  <c r="I17" i="5"/>
  <c r="I16" i="5"/>
  <c r="I13" i="5"/>
  <c r="I34" i="1"/>
  <c r="I35" i="1" s="1"/>
  <c r="H34" i="1"/>
  <c r="H35" i="1" s="1"/>
  <c r="G34" i="1"/>
  <c r="G35" i="1" s="1"/>
  <c r="T18" i="1"/>
  <c r="T13" i="1"/>
  <c r="AB13" i="1" s="1"/>
  <c r="G40" i="5"/>
  <c r="F40" i="5"/>
  <c r="E40" i="5"/>
  <c r="H39" i="5"/>
  <c r="H40" i="5" s="1"/>
  <c r="K10" i="5"/>
  <c r="L10" i="5" s="1"/>
  <c r="J10" i="5"/>
  <c r="I10" i="5"/>
  <c r="H6" i="5"/>
  <c r="I6" i="5" s="1"/>
  <c r="H21" i="5"/>
  <c r="I21" i="5" s="1"/>
  <c r="J21" i="5" s="1"/>
  <c r="H20" i="5"/>
  <c r="K20" i="5" s="1"/>
  <c r="L20" i="5" s="1"/>
  <c r="H17" i="5"/>
  <c r="J17" i="5" s="1"/>
  <c r="H16" i="5"/>
  <c r="J16" i="5" s="1"/>
  <c r="H15" i="5"/>
  <c r="K15" i="5" s="1"/>
  <c r="L15" i="5" s="1"/>
  <c r="H14" i="5"/>
  <c r="I14" i="5" s="1"/>
  <c r="J14" i="5" s="1"/>
  <c r="H13" i="5"/>
  <c r="J13" i="5" s="1"/>
  <c r="H12" i="5"/>
  <c r="K12" i="5" s="1"/>
  <c r="L12" i="5" s="1"/>
  <c r="H11" i="5"/>
  <c r="K11" i="5" s="1"/>
  <c r="L11" i="5" s="1"/>
  <c r="H9" i="5"/>
  <c r="I9" i="5" s="1"/>
  <c r="J9" i="5" s="1"/>
  <c r="H8" i="5"/>
  <c r="K8" i="5" s="1"/>
  <c r="L8" i="5" s="1"/>
  <c r="H18" i="5"/>
  <c r="K18" i="5" s="1"/>
  <c r="L18" i="5" s="1"/>
  <c r="H7" i="5"/>
  <c r="K7" i="5" s="1"/>
  <c r="L7" i="5" s="1"/>
  <c r="AB34" i="14" l="1"/>
  <c r="AB35" i="14" s="1"/>
  <c r="Z35" i="14"/>
  <c r="G10" i="4"/>
  <c r="AB32" i="1"/>
  <c r="G11" i="4"/>
  <c r="AB33" i="1"/>
  <c r="J6" i="5"/>
  <c r="E12" i="4"/>
  <c r="H19" i="5"/>
  <c r="K19" i="5" s="1"/>
  <c r="L19" i="5" s="1"/>
  <c r="K14" i="5"/>
  <c r="L14" i="5" s="1"/>
  <c r="K9" i="5"/>
  <c r="L9" i="5" s="1"/>
  <c r="I8" i="5"/>
  <c r="J8" i="5" s="1"/>
  <c r="K17" i="5"/>
  <c r="L17" i="5" s="1"/>
  <c r="K6" i="5"/>
  <c r="L6" i="5" s="1"/>
  <c r="I7" i="5"/>
  <c r="I15" i="5"/>
  <c r="J15" i="5" s="1"/>
  <c r="K13" i="5"/>
  <c r="L13" i="5" s="1"/>
  <c r="K21" i="5"/>
  <c r="L21" i="5" s="1"/>
  <c r="I18" i="5"/>
  <c r="J18" i="5" s="1"/>
  <c r="K16" i="5"/>
  <c r="L16" i="5" s="1"/>
  <c r="I12" i="5"/>
  <c r="J12" i="5" s="1"/>
  <c r="I20" i="5"/>
  <c r="J20" i="5" s="1"/>
  <c r="I11" i="5"/>
  <c r="J11" i="5" s="1"/>
  <c r="H22" i="5"/>
  <c r="AB23" i="1" l="1"/>
  <c r="M34" i="1"/>
  <c r="N34" i="1" s="1"/>
  <c r="E13" i="4"/>
  <c r="F12" i="4"/>
  <c r="I19" i="5"/>
  <c r="J19" i="5" s="1"/>
  <c r="J7" i="5"/>
  <c r="J25" i="4"/>
  <c r="J24" i="4"/>
  <c r="J23" i="4"/>
  <c r="J22" i="4"/>
  <c r="J21" i="4"/>
  <c r="J20" i="4"/>
  <c r="G22" i="5"/>
  <c r="K22" i="5" s="1"/>
  <c r="L22" i="5" s="1"/>
  <c r="F22" i="5"/>
  <c r="I22" i="5" s="1"/>
  <c r="J22" i="5" s="1"/>
  <c r="K34" i="1" l="1"/>
  <c r="L34" i="1" s="1"/>
  <c r="M33" i="1"/>
  <c r="N33" i="1" s="1"/>
  <c r="M32" i="1"/>
  <c r="N32" i="1" s="1"/>
  <c r="T22" i="1"/>
  <c r="G12" i="4"/>
  <c r="D35" i="1"/>
  <c r="K20" i="4"/>
  <c r="K25" i="4"/>
  <c r="K24" i="4"/>
  <c r="K23" i="4"/>
  <c r="K22" i="4"/>
  <c r="K21" i="4"/>
  <c r="H26" i="4"/>
  <c r="G26" i="4"/>
  <c r="G28" i="4" s="1"/>
  <c r="K30" i="1" l="1"/>
  <c r="L30" i="1" s="1"/>
  <c r="M30" i="1"/>
  <c r="N30" i="1" s="1"/>
  <c r="AC31" i="1"/>
  <c r="AD31" i="1" s="1"/>
  <c r="M31" i="1"/>
  <c r="N31" i="1" s="1"/>
  <c r="T28" i="1"/>
  <c r="T34" i="1" s="1"/>
  <c r="AB22" i="1"/>
  <c r="K32" i="1"/>
  <c r="L32" i="1" s="1"/>
  <c r="AC32" i="1"/>
  <c r="K33" i="1"/>
  <c r="L33" i="1" s="1"/>
  <c r="AC33" i="1"/>
  <c r="AC30" i="1"/>
  <c r="K31" i="1"/>
  <c r="L31" i="1" s="1"/>
  <c r="E35" i="1"/>
  <c r="N21" i="4"/>
  <c r="O21" i="4" s="1"/>
  <c r="P21" i="4"/>
  <c r="Q21" i="4" s="1"/>
  <c r="R21" i="4"/>
  <c r="S21" i="4" s="1"/>
  <c r="T21" i="4"/>
  <c r="U21" i="4" s="1"/>
  <c r="P22" i="4"/>
  <c r="Q22" i="4" s="1"/>
  <c r="R22" i="4"/>
  <c r="S22" i="4" s="1"/>
  <c r="N22" i="4"/>
  <c r="O22" i="4" s="1"/>
  <c r="T22" i="4"/>
  <c r="U22" i="4" s="1"/>
  <c r="R23" i="4"/>
  <c r="S23" i="4" s="1"/>
  <c r="P23" i="4"/>
  <c r="Q23" i="4" s="1"/>
  <c r="T23" i="4"/>
  <c r="U23" i="4" s="1"/>
  <c r="N23" i="4"/>
  <c r="O23" i="4" s="1"/>
  <c r="T24" i="4"/>
  <c r="U24" i="4" s="1"/>
  <c r="N24" i="4"/>
  <c r="O24" i="4" s="1"/>
  <c r="P24" i="4"/>
  <c r="Q24" i="4" s="1"/>
  <c r="R24" i="4"/>
  <c r="S24" i="4" s="1"/>
  <c r="T25" i="4"/>
  <c r="U25" i="4" s="1"/>
  <c r="L25" i="4"/>
  <c r="M25" i="4" s="1"/>
  <c r="N25" i="4"/>
  <c r="O25" i="4" s="1"/>
  <c r="P25" i="4"/>
  <c r="Q25" i="4" s="1"/>
  <c r="R25" i="4"/>
  <c r="S25" i="4" s="1"/>
  <c r="N20" i="4"/>
  <c r="O20" i="4" s="1"/>
  <c r="P20" i="4"/>
  <c r="Q20" i="4" s="1"/>
  <c r="R20" i="4"/>
  <c r="S20" i="4" s="1"/>
  <c r="L20" i="4"/>
  <c r="M20" i="4" s="1"/>
  <c r="T20" i="4"/>
  <c r="U20" i="4" s="1"/>
  <c r="L21" i="4"/>
  <c r="M21" i="4" s="1"/>
  <c r="L22" i="4"/>
  <c r="M22" i="4" s="1"/>
  <c r="L24" i="4"/>
  <c r="M24" i="4" s="1"/>
  <c r="L23" i="4"/>
  <c r="M23" i="4" s="1"/>
  <c r="H28" i="4"/>
  <c r="T35" i="1" l="1"/>
  <c r="J35" i="1"/>
  <c r="F26" i="4"/>
  <c r="F28" i="4" s="1"/>
  <c r="E26" i="4"/>
  <c r="E28" i="4" s="1"/>
  <c r="D26" i="4"/>
  <c r="AC35" i="1" l="1"/>
  <c r="J26" i="4"/>
  <c r="D28" i="4"/>
  <c r="J28" i="4" l="1"/>
  <c r="K26" i="4"/>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CG3" i="3"/>
  <c r="CF3" i="3"/>
  <c r="CE3" i="3"/>
  <c r="CD3" i="3"/>
  <c r="CC3" i="3"/>
  <c r="CB3" i="3"/>
  <c r="CA3" i="3"/>
  <c r="BZ3" i="3"/>
  <c r="BY3" i="3"/>
  <c r="BX3" i="3"/>
  <c r="BW3" i="3"/>
  <c r="BV3" i="3"/>
  <c r="BU3" i="3"/>
  <c r="BT3" i="3"/>
  <c r="BS3" i="3"/>
  <c r="BR3" i="3"/>
  <c r="BQ3" i="3"/>
  <c r="BP3" i="3"/>
  <c r="BO3" i="3"/>
  <c r="BN3" i="3"/>
  <c r="BM3" i="3"/>
  <c r="BL3" i="3"/>
  <c r="BK3" i="3"/>
  <c r="BJ3" i="3"/>
  <c r="BI3" i="3"/>
  <c r="BH3" i="3"/>
  <c r="BG3" i="3"/>
  <c r="BF3" i="3"/>
  <c r="BE3" i="3"/>
  <c r="BD3" i="3"/>
  <c r="BC3" i="3"/>
  <c r="BB3" i="3"/>
  <c r="BA3" i="3"/>
  <c r="AZ3" i="3"/>
  <c r="AY3" i="3"/>
  <c r="AX3" i="3"/>
  <c r="AW3" i="3"/>
  <c r="AV3" i="3"/>
  <c r="AU3" i="3"/>
  <c r="AT3" i="3"/>
  <c r="AS3" i="3"/>
  <c r="AR3" i="3"/>
  <c r="AQ3" i="3"/>
  <c r="AP3" i="3"/>
  <c r="AO3"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AD30" i="1"/>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CG3" i="2"/>
  <c r="CF3" i="2"/>
  <c r="CE3" i="2"/>
  <c r="CD3" i="2"/>
  <c r="CC3" i="2"/>
  <c r="CB3" i="2"/>
  <c r="CA3" i="2"/>
  <c r="BZ3" i="2"/>
  <c r="BY3" i="2"/>
  <c r="BX3" i="2"/>
  <c r="BW3" i="2"/>
  <c r="BV3" i="2"/>
  <c r="BU3" i="2"/>
  <c r="BT3" i="2"/>
  <c r="BS3" i="2"/>
  <c r="BR3" i="2"/>
  <c r="BQ3" i="2"/>
  <c r="BP3" i="2"/>
  <c r="BO3" i="2"/>
  <c r="BN3" i="2"/>
  <c r="BM3" i="2"/>
  <c r="BL3" i="2"/>
  <c r="BK3" i="2"/>
  <c r="BJ3" i="2"/>
  <c r="BI3" i="2"/>
  <c r="BH3" i="2"/>
  <c r="BG3" i="2"/>
  <c r="BF3" i="2"/>
  <c r="BE3" i="2"/>
  <c r="BD3" i="2"/>
  <c r="BC3" i="2"/>
  <c r="BB3" i="2"/>
  <c r="BA3"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G3" i="2"/>
  <c r="F3" i="2"/>
  <c r="AD33" i="1" l="1"/>
  <c r="P26" i="4"/>
  <c r="N26" i="4"/>
  <c r="T26" i="4"/>
  <c r="U26" i="4" s="1"/>
  <c r="R26" i="4"/>
  <c r="S26" i="4" s="1"/>
  <c r="L26" i="4"/>
  <c r="AD32" i="1" l="1"/>
  <c r="AB20" i="1"/>
  <c r="L28" i="4"/>
  <c r="M26" i="4"/>
  <c r="P28" i="4"/>
  <c r="Q26" i="4"/>
  <c r="N28" i="4"/>
  <c r="O26" i="4"/>
  <c r="Z18" i="1" l="1"/>
  <c r="Z28" i="1" l="1"/>
  <c r="AB28" i="1" s="1"/>
  <c r="AD28" i="1" s="1"/>
  <c r="AB18" i="1"/>
  <c r="Y34" i="1"/>
  <c r="AB34" i="1" s="1"/>
  <c r="AD34" i="1" s="1"/>
  <c r="Y35" i="1" l="1"/>
  <c r="AB35" i="1" l="1"/>
  <c r="AD35" i="1" l="1"/>
  <c r="E38" i="22"/>
  <c r="M38" i="22" s="1"/>
  <c r="F38" i="22"/>
  <c r="K38" i="22" s="1"/>
  <c r="N38" i="22" l="1"/>
  <c r="M54" i="22"/>
  <c r="L38" i="22"/>
  <c r="K54" i="22"/>
  <c r="I29" i="12" l="1"/>
  <c r="J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Cunningham, Jason</author>
    <author>Chantel</author>
    <author>BD/PAB</author>
  </authors>
  <commentList>
    <comment ref="E11" authorId="0" shapeId="0" xr:uid="{AB832796-F5A6-4D81-83EF-DF54A3863318}">
      <text>
        <r>
          <rPr>
            <b/>
            <sz val="9"/>
            <color indexed="81"/>
            <rFont val="Tahoma"/>
            <family val="2"/>
          </rPr>
          <t>Cunningham, Jason:</t>
        </r>
        <r>
          <rPr>
            <sz val="9"/>
            <color indexed="81"/>
            <rFont val="Tahoma"/>
            <family val="2"/>
          </rPr>
          <t xml:space="preserve">
Previous year's language stated "no less than"</t>
        </r>
      </text>
    </comment>
    <comment ref="R20" authorId="1" shapeId="0" xr:uid="{987F18DC-8D3D-4F92-BE49-02ADCB60B4B1}">
      <text>
        <r>
          <rPr>
            <b/>
            <sz val="9"/>
            <color indexed="81"/>
            <rFont val="Tahoma"/>
            <family val="2"/>
          </rPr>
          <t>Chantel:</t>
        </r>
        <r>
          <rPr>
            <sz val="9"/>
            <color indexed="81"/>
            <rFont val="Tahoma"/>
            <family val="2"/>
          </rPr>
          <t xml:space="preserve">
Amanda from OLPA indicated that increasing funding for CHEXS over the FY22 CP would be something the Hill would expect.  Can be done with Directorate's allocations does not need to be taken off the top.</t>
        </r>
      </text>
    </comment>
    <comment ref="M35" authorId="2" shapeId="0" xr:uid="{998AB64E-9A12-4964-89C4-09BA56936AD3}">
      <text>
        <r>
          <rPr>
            <b/>
            <sz val="9"/>
            <color indexed="81"/>
            <rFont val="Tahoma"/>
            <family val="2"/>
          </rPr>
          <t xml:space="preserve">bb: </t>
        </r>
        <r>
          <rPr>
            <sz val="9"/>
            <color indexed="81"/>
            <rFont val="Tahoma"/>
            <family val="2"/>
          </rPr>
          <t xml:space="preserve">
set at zero to negate effect on bottom line total</t>
        </r>
      </text>
    </comment>
    <comment ref="J36" authorId="0" shapeId="0" xr:uid="{C1F7EEC0-FB6D-4D84-B0A0-54DE8097A28C}">
      <text>
        <r>
          <rPr>
            <b/>
            <sz val="9"/>
            <color indexed="81"/>
            <rFont val="Tahoma"/>
            <family val="2"/>
          </rPr>
          <t>Cunningham, Jason:</t>
        </r>
        <r>
          <rPr>
            <sz val="9"/>
            <color indexed="81"/>
            <rFont val="Tahoma"/>
            <family val="2"/>
          </rPr>
          <t xml:space="preserve">
What amount is needed to cover this add'l study in RRA funds; Personnel portion will be folded into the AOAM discussion.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BD/PAB</author>
  </authors>
  <commentList>
    <comment ref="D46" authorId="0" shapeId="0" xr:uid="{982E6B3C-943F-4CAC-AABD-2FABA39BEE61}">
      <text>
        <r>
          <rPr>
            <b/>
            <sz val="9"/>
            <color indexed="81"/>
            <rFont val="Tahoma"/>
            <family val="2"/>
          </rPr>
          <t>BD/PAB:</t>
        </r>
        <r>
          <rPr>
            <sz val="9"/>
            <color indexed="81"/>
            <rFont val="Tahoma"/>
            <family val="2"/>
          </rPr>
          <t xml:space="preserve">
should be 9.50
</t>
        </r>
      </text>
    </comment>
  </commentList>
</comments>
</file>

<file path=xl/sharedStrings.xml><?xml version="1.0" encoding="utf-8"?>
<sst xmlns="http://schemas.openxmlformats.org/spreadsheetml/2006/main" count="6787" uniqueCount="971">
  <si>
    <t>BIO</t>
  </si>
  <si>
    <t>CISE</t>
  </si>
  <si>
    <t>ENG</t>
  </si>
  <si>
    <t>GEO</t>
  </si>
  <si>
    <t>GEO-OPP</t>
  </si>
  <si>
    <t>OPP Programs</t>
  </si>
  <si>
    <t>U.S. Antarctic Logistics Activities</t>
  </si>
  <si>
    <t>MPS</t>
  </si>
  <si>
    <t>SBE</t>
  </si>
  <si>
    <t>TIP</t>
  </si>
  <si>
    <t>TIP Programs</t>
  </si>
  <si>
    <t>SBIR/STTR, including Operations</t>
  </si>
  <si>
    <t>OISE</t>
  </si>
  <si>
    <t>IA</t>
  </si>
  <si>
    <t>EPSCoR</t>
  </si>
  <si>
    <t>Other IA</t>
  </si>
  <si>
    <t>U.S. Arctic Research Commission</t>
  </si>
  <si>
    <t>Strategic Initiatives - Climate</t>
  </si>
  <si>
    <t>not yet allocated by Org</t>
  </si>
  <si>
    <t>Research &amp; Related Activities</t>
  </si>
  <si>
    <t>STEM Education</t>
  </si>
  <si>
    <t>Major Research Equipment &amp; Facilities Construction</t>
  </si>
  <si>
    <t>Agency Operations &amp; Award Mgmt</t>
  </si>
  <si>
    <t>Office of Inspector General</t>
  </si>
  <si>
    <t>Total</t>
  </si>
  <si>
    <t>FY 2022
Current
Plan</t>
  </si>
  <si>
    <t>FY 2023
Request</t>
  </si>
  <si>
    <r>
      <rPr>
        <b/>
        <sz val="14"/>
        <color rgb="FF000000"/>
        <rFont val="Times New Roman"/>
        <family val="1"/>
      </rPr>
      <t xml:space="preserve">2022 CONG 2022 Current Plan
</t>
    </r>
    <r>
      <rPr>
        <b/>
        <sz val="14"/>
        <color rgb="FF000000"/>
        <rFont val="Times New Roman"/>
        <family val="1"/>
      </rPr>
      <t xml:space="preserve">Thematic Master
</t>
    </r>
    <r>
      <rPr>
        <b/>
        <sz val="10"/>
        <color rgb="FF000000"/>
        <rFont val="Times New Roman"/>
        <family val="1"/>
      </rPr>
      <t>Dollars in Millions</t>
    </r>
  </si>
  <si>
    <t/>
  </si>
  <si>
    <t>RRA</t>
  </si>
  <si>
    <t>EDU</t>
  </si>
  <si>
    <t>MREFC</t>
  </si>
  <si>
    <t>AOAM</t>
  </si>
  <si>
    <t>OIG</t>
  </si>
  <si>
    <t>NSB</t>
  </si>
  <si>
    <t>GEO/OPP</t>
  </si>
  <si>
    <t>OIA</t>
  </si>
  <si>
    <t>USARC</t>
  </si>
  <si>
    <t>USALS</t>
  </si>
  <si>
    <t>DBI</t>
  </si>
  <si>
    <t>DEB</t>
  </si>
  <si>
    <t>EF</t>
  </si>
  <si>
    <t>IOS</t>
  </si>
  <si>
    <t>MCB</t>
  </si>
  <si>
    <t>UNDIST</t>
  </si>
  <si>
    <t>CCF</t>
  </si>
  <si>
    <t>CNS</t>
  </si>
  <si>
    <t>IIS</t>
  </si>
  <si>
    <t>ITR</t>
  </si>
  <si>
    <t>OAC</t>
  </si>
  <si>
    <t>CBET</t>
  </si>
  <si>
    <t>CMMI</t>
  </si>
  <si>
    <t>ECCS</t>
  </si>
  <si>
    <t>EEC</t>
  </si>
  <si>
    <t>EFMA</t>
  </si>
  <si>
    <t>IIP</t>
  </si>
  <si>
    <t>AGS</t>
  </si>
  <si>
    <t>EAR</t>
  </si>
  <si>
    <t>OCE</t>
  </si>
  <si>
    <t>PLR</t>
  </si>
  <si>
    <t>RISE</t>
  </si>
  <si>
    <t>AST</t>
  </si>
  <si>
    <t>CHE</t>
  </si>
  <si>
    <t>DMR</t>
  </si>
  <si>
    <t>DMS</t>
  </si>
  <si>
    <t>OMA</t>
  </si>
  <si>
    <t>PHY</t>
  </si>
  <si>
    <t>BCS</t>
  </si>
  <si>
    <t>NCSES</t>
  </si>
  <si>
    <t>SES</t>
  </si>
  <si>
    <t>ITE</t>
  </si>
  <si>
    <t>SPO</t>
  </si>
  <si>
    <t>TF</t>
  </si>
  <si>
    <t>TI</t>
  </si>
  <si>
    <t>DGE</t>
  </si>
  <si>
    <t>DRL</t>
  </si>
  <si>
    <t>DUE</t>
  </si>
  <si>
    <t>EES</t>
  </si>
  <si>
    <t>GAC</t>
  </si>
  <si>
    <t>ROD</t>
  </si>
  <si>
    <t>Concatenate</t>
  </si>
  <si>
    <t>ADD</t>
  </si>
  <si>
    <t>Discovery</t>
  </si>
  <si>
    <t>Advancing Informal STEM Learning (AISL)</t>
  </si>
  <si>
    <t>Alliances for Graduate Education &amp; the Professoriate (AGEP)</t>
  </si>
  <si>
    <t>Artificial Intelligence Research Institutes, National</t>
  </si>
  <si>
    <t>Big Ideas</t>
  </si>
  <si>
    <t>Growing Convergence Research (GCR)</t>
  </si>
  <si>
    <t>Harnessing the Data Revolution for 21st Century Science and Engineering (HDR)</t>
  </si>
  <si>
    <t>Navigating the New Arctic (NNA)</t>
  </si>
  <si>
    <t>NSF 2026 Fund (NSF 2026)</t>
  </si>
  <si>
    <t>NSF INCLUDES</t>
  </si>
  <si>
    <t>Quantum Leap Challenge Institutes</t>
  </si>
  <si>
    <t>The Future of Work at the Human-Technology Frontier (FW-HTF)</t>
  </si>
  <si>
    <t>The Quantum Leap (QL)</t>
  </si>
  <si>
    <t>Understanding the Rules of Life (URoL)</t>
  </si>
  <si>
    <t>Windows on the Universe (WoU)</t>
  </si>
  <si>
    <t>Biology Integration Institutes (BII)</t>
  </si>
  <si>
    <t>CAREER</t>
  </si>
  <si>
    <t>Centers for Analysis &amp; Synthesis</t>
  </si>
  <si>
    <t>Centers for Chemical Innovation (CCI)</t>
  </si>
  <si>
    <t>Centers of Research Excellence in Science &amp; Technology (CREST)</t>
  </si>
  <si>
    <t>Convergence Accelerator Research</t>
  </si>
  <si>
    <t>Disciplinary &amp; Interdisciplinary Research</t>
  </si>
  <si>
    <t>Discovery Research PreK-12 (DRK-12)</t>
  </si>
  <si>
    <t>Discovery Stewardship Offset</t>
  </si>
  <si>
    <t>Engineering Research Centers (ERC)</t>
  </si>
  <si>
    <t>EPSCoR Co-Funding</t>
  </si>
  <si>
    <t>EPSCoR Outreach</t>
  </si>
  <si>
    <t>EPSCoR Research Infrastructure Improvement (RII)</t>
  </si>
  <si>
    <t>HBCU Excellence in Research</t>
  </si>
  <si>
    <t xml:space="preserve">Hispanic-Serving Institutions </t>
  </si>
  <si>
    <t>Historically Black Colleges &amp; Universities Undergraduate Program (HBCU-UP)</t>
  </si>
  <si>
    <t>Improving Undergraduate STEM Education (IUSE)</t>
  </si>
  <si>
    <t>Industry/University Cooperative Research Centers (I/UCRC)</t>
  </si>
  <si>
    <t>Long-Term Ecological Research (LTER)</t>
  </si>
  <si>
    <t>Materials Centers</t>
  </si>
  <si>
    <t>National Center for Wireless Spectrum Research (SII-Center)</t>
  </si>
  <si>
    <t>National Coordinating Office for NITRD (NCO)</t>
  </si>
  <si>
    <t>National Nanotechnology Coordinating Office (NNCO)</t>
  </si>
  <si>
    <t>NSF Innovation Corps (I-Corps)</t>
  </si>
  <si>
    <t>NSF Regional Innovation Engines (NSF Engines)</t>
  </si>
  <si>
    <t>Partnerships for Innovation (PFI)</t>
  </si>
  <si>
    <t>Science &amp; Technology Centers</t>
  </si>
  <si>
    <t>STCs - 2010 Class</t>
  </si>
  <si>
    <t>STCs - 2013 Class</t>
  </si>
  <si>
    <t>STCs – 2016 Class</t>
  </si>
  <si>
    <t>STCs - 2021 Class</t>
  </si>
  <si>
    <t>STCs - Administration</t>
  </si>
  <si>
    <t>Small Business – SBIR Programs</t>
  </si>
  <si>
    <t>Small Business – SBIR/STTR Operations</t>
  </si>
  <si>
    <t>Small Business – STTR Programs</t>
  </si>
  <si>
    <t>Tribal Colleges &amp; Universities Program (TCUP)</t>
  </si>
  <si>
    <t>Learning</t>
  </si>
  <si>
    <t>ADVANCE</t>
  </si>
  <si>
    <t>Advanced Technological Education (ATE)</t>
  </si>
  <si>
    <t>Astronomy &amp; Astrophysics Postdoctoral Fellowships (AAPF)</t>
  </si>
  <si>
    <t>Career-Life Balance (CLB)</t>
  </si>
  <si>
    <t>Computer Science for All (CSforAll)</t>
  </si>
  <si>
    <t>Computing Workforce</t>
  </si>
  <si>
    <t>Cybercorps: Scholarships for Service (SFS)</t>
  </si>
  <si>
    <t>CyberTraining</t>
  </si>
  <si>
    <t>Entrepreneurial Fellows</t>
  </si>
  <si>
    <t>Excellence Awards in Science &amp; Engineering (EASE)</t>
  </si>
  <si>
    <t>Geosciences Disciplinary Education</t>
  </si>
  <si>
    <t>Geosciences Postdoctoral Fellowships</t>
  </si>
  <si>
    <t>Graduate Research Fellowship Program (GRFP)</t>
  </si>
  <si>
    <t>International Research Experiences for Students (IRES)</t>
  </si>
  <si>
    <t>Learning Stewardship Offset</t>
  </si>
  <si>
    <t>Louis Stokes Alliances for Minority Participation (LSAMP)</t>
  </si>
  <si>
    <t>Mathematical Sciences Postdoctoral Research Fellowships (MSPRF)</t>
  </si>
  <si>
    <t>MPS ASCEND Postdoctoral Research Fellowships</t>
  </si>
  <si>
    <t>NSF Research Traineeship (NRT)</t>
  </si>
  <si>
    <t>Partnerships in Astronomy &amp; Astrophysics Research Education (PAARE)</t>
  </si>
  <si>
    <t>Postdoctoral Research Fellowships in Biology (PRFB)</t>
  </si>
  <si>
    <t>Project &amp; Program Evaluation (PPE)</t>
  </si>
  <si>
    <t>Research and Mentoring for Postbaccalaureates in Biological Sciences (RaMP)</t>
  </si>
  <si>
    <t>Research Experiences for Teachers (RET)</t>
  </si>
  <si>
    <t>Research Experiences for Undergraduates (REU) Sites</t>
  </si>
  <si>
    <t>Research Experiences for Undergraduates (REU) Supplements</t>
  </si>
  <si>
    <t>Research Investment Communications (RIC)</t>
  </si>
  <si>
    <t>Robert Noyce Teacher Scholarship Program (NOYCE)</t>
  </si>
  <si>
    <t>Noyce Scholarships</t>
  </si>
  <si>
    <t>Noyce Teaching &amp; Master Teaching Fellows (10A)</t>
  </si>
  <si>
    <t>SPRF - Fundamental Research (SPRF-FR)</t>
  </si>
  <si>
    <t>SPRF-Broadening Participation</t>
  </si>
  <si>
    <t>Organizational Excellence - Program Support</t>
  </si>
  <si>
    <t>Evaluation and Assessment Capability</t>
  </si>
  <si>
    <t>Intergovernmental Personnel Assignments (IPAs)</t>
  </si>
  <si>
    <t>Major Facilities Administrative Reviews and Audits</t>
  </si>
  <si>
    <t>Modeling and Forecasting</t>
  </si>
  <si>
    <t>Organizational Excellence</t>
  </si>
  <si>
    <t>Organizational Excellence Stewardship Offset</t>
  </si>
  <si>
    <t>Planning and Policy Support</t>
  </si>
  <si>
    <t>Program Related Administration (PRA)</t>
  </si>
  <si>
    <t>Other Program Related Administration</t>
  </si>
  <si>
    <t>Program Related Technology (PRT)</t>
  </si>
  <si>
    <t>Research Resources – Public Access Initiative</t>
  </si>
  <si>
    <t>Research Security Strategy and Policy</t>
  </si>
  <si>
    <t>Research Infrastructure</t>
  </si>
  <si>
    <t>Academic Research Fleet</t>
  </si>
  <si>
    <t>ARF-Academic Research Fleet, Ship Ops &amp; Upgrades</t>
  </si>
  <si>
    <t>ARF-Regional Class Research Vessels (RCRV)</t>
  </si>
  <si>
    <t>Antarctic Facilities and Operations</t>
  </si>
  <si>
    <t>Antarctic Infrastructure Modernization for Science (AIMS)</t>
  </si>
  <si>
    <t>Antarctic Infrastructure Recapitalization (AIR)</t>
  </si>
  <si>
    <t>Antarctic Logistics</t>
  </si>
  <si>
    <t>Arctic Logistics</t>
  </si>
  <si>
    <t>Arecibo Observatory</t>
  </si>
  <si>
    <t>AST Portfolio Review Implementation</t>
  </si>
  <si>
    <t>Atacama Large Millimeter Array (ALMA)</t>
  </si>
  <si>
    <t>Center for High Energy X-ray Science (CHEXS)</t>
  </si>
  <si>
    <t>Daniel K. Inouye Solar Telescope (DKIST)</t>
  </si>
  <si>
    <t>Gemini Observatory</t>
  </si>
  <si>
    <t>Geodetic Facility for the Advancement of GEoscience (GAGE)</t>
  </si>
  <si>
    <t>Green Bank Observatory (GBO)</t>
  </si>
  <si>
    <t>IceCube Neutrino Observatory (IceCube)</t>
  </si>
  <si>
    <t>International Ocean Discovery Program (IODP)</t>
  </si>
  <si>
    <t>Large Hadron Collider (LHC)</t>
  </si>
  <si>
    <t>Laser-Interferometer Gravitational-Wave Observatory (LIGO)</t>
  </si>
  <si>
    <t>Major Research Instrumentation (MRI)</t>
  </si>
  <si>
    <t>MRIDP: Mid-scale RI Directorate Programs</t>
  </si>
  <si>
    <t>MSRIAP: Mid-scale Research Infrastructure Agency Program</t>
  </si>
  <si>
    <t>National Center for Atmospheric Research (NCAR)</t>
  </si>
  <si>
    <t>National Center for Science &amp; Engineering Statistics (NCSES)</t>
  </si>
  <si>
    <t>National Ecological Observatory Network (NEON)</t>
  </si>
  <si>
    <t>National High-Magnetic Field Laboratory (NHMFL)</t>
  </si>
  <si>
    <t>National Nanotechnology Coordinated Infrastructure (NNCI)</t>
  </si>
  <si>
    <t>National Optical Astronomy Observatory (NOAO)</t>
  </si>
  <si>
    <t>National Radio Astronomy Observatory (NRAO)</t>
  </si>
  <si>
    <t>National Solar Observatory (NSO)</t>
  </si>
  <si>
    <t>National Superconducting Cyclotron Laboratory (NSCL)(MSU Cyclotron)</t>
  </si>
  <si>
    <t>Natural Hazards Engineering Research Infrastructure (NHERI)</t>
  </si>
  <si>
    <t>Networking and Computational Resources Infrastructure and Services</t>
  </si>
  <si>
    <t>NSF National Optical-infrared Astronomy Research Laboratory</t>
  </si>
  <si>
    <t>Ocean Observatories Initiative (OOI)</t>
  </si>
  <si>
    <t>Other MPS Facilities</t>
  </si>
  <si>
    <t>Polar Environment, Health, and Safety (PEHS)</t>
  </si>
  <si>
    <t>Research Infrastructure Stewardship Offset</t>
  </si>
  <si>
    <t>Research Resources</t>
  </si>
  <si>
    <t>Science &amp; Technology Policy Institute (STPI)</t>
  </si>
  <si>
    <t>Seismological Facility for the Advancement of GEoscience (SAGE)</t>
  </si>
  <si>
    <t>Vera C. Rubin Observatory</t>
  </si>
  <si>
    <t>NON ADD</t>
  </si>
  <si>
    <t>Cross-Foundation Activities</t>
  </si>
  <si>
    <t>Advanced Manufacturing (Total AdMan+FutMan)</t>
  </si>
  <si>
    <t>AdvMan - Core Investments</t>
  </si>
  <si>
    <t>AdvMan - Future Manufacturing</t>
  </si>
  <si>
    <t>Advanced Wireless</t>
  </si>
  <si>
    <t>Artificial Intelligence (AI)</t>
  </si>
  <si>
    <t>Bioeconomy</t>
  </si>
  <si>
    <t>Biotechnology</t>
  </si>
  <si>
    <t>Brain Research through Advancing Innovative Neurotechnologies (BRAIN) Initiative</t>
  </si>
  <si>
    <t>Clean Energy Technology</t>
  </si>
  <si>
    <t>Coastlines and People (CoPE)</t>
  </si>
  <si>
    <t>Harnessing the Data Revolution (HDR) - Total</t>
  </si>
  <si>
    <t>Innovations at the Nexus of Food, Energy, and Water Systems (INFEWS)</t>
  </si>
  <si>
    <t>Materials Genome Initiative (MGI)</t>
  </si>
  <si>
    <t>Microelectronics and Semiconductors</t>
  </si>
  <si>
    <t>Navigating the New Arctic (NNA) - Total</t>
  </si>
  <si>
    <t>Quantum Information Sciences (QIS)</t>
  </si>
  <si>
    <t>Risk and Resilience</t>
  </si>
  <si>
    <t>Secure and Trustworthy Cyberspace (SaTC)</t>
  </si>
  <si>
    <t>The Future of Work at the Human-Technology Frontier (FW-HTF) - Total</t>
  </si>
  <si>
    <t>The Quantum Leap (QL) - Total</t>
  </si>
  <si>
    <t>Understanding the Brain (UtB)</t>
  </si>
  <si>
    <t>Understanding the Rules of Life (URoL) - Total</t>
  </si>
  <si>
    <t>Windows on the Universe (WoU) - Total</t>
  </si>
  <si>
    <t>Homeland Security Activities</t>
  </si>
  <si>
    <t>Defending Against Catastrophic Threats</t>
  </si>
  <si>
    <t>HSA-Research to Combat Bioterrorism - Microbial Genomics, Analysis &amp; Modeling</t>
  </si>
  <si>
    <t>Protecting Critical Infrastructure &amp; Key Assets</t>
  </si>
  <si>
    <t>HSA-Antarctic Physical Security</t>
  </si>
  <si>
    <t>HSA-Counterterrorism</t>
  </si>
  <si>
    <t>HSA-Cybersecurity</t>
  </si>
  <si>
    <t>HSA-Emergency Planning &amp; Response</t>
  </si>
  <si>
    <t>HSA-Energy Supply Assurance</t>
  </si>
  <si>
    <t>HSA-IT Security</t>
  </si>
  <si>
    <t>HSA-Resilient Infrastructure</t>
  </si>
  <si>
    <t>HSA-Scholarship for Service/Cybercorps (HSA)</t>
  </si>
  <si>
    <t>NSTC Crosscuts (excl. HSA)</t>
  </si>
  <si>
    <t>National Nanotechnology Initiative (NNI)</t>
  </si>
  <si>
    <t>NNI-Education and Workforce Development</t>
  </si>
  <si>
    <t>NNI-Foundational Research</t>
  </si>
  <si>
    <t>NNI-Nanotechnology-Enabled Applications, Devices, and Systems</t>
  </si>
  <si>
    <t>NNI-Research Infrastructure and Instrumentation</t>
  </si>
  <si>
    <t>NNI-Responsible Development</t>
  </si>
  <si>
    <t>Networking &amp; Information Technology R&amp;D (NITRD)</t>
  </si>
  <si>
    <t>NITRD-ACNS-Advanced Communication Networks and Systems</t>
  </si>
  <si>
    <t>NITRD-AI-Artificial Intelligence</t>
  </si>
  <si>
    <t>NITRD-C-HUMAN-Computing-Enabled Human Interaction, Communications, Augmentation</t>
  </si>
  <si>
    <t>NITRD-CNPS-Computing-Enabled Networked Physical Systems</t>
  </si>
  <si>
    <t>NITRD-CSP-Cyber Security &amp; Privacy</t>
  </si>
  <si>
    <t>NITRD-EdW-Education and Workforce</t>
  </si>
  <si>
    <t>NITRD-EHCS-Enabling-R&amp;D for High-Capability Computing System</t>
  </si>
  <si>
    <t>NITRD-ENIT-Electronics for Networking &amp; Information Technology</t>
  </si>
  <si>
    <t>NITRD-HCIA-High Capability Computing Infrastructure and Applications</t>
  </si>
  <si>
    <t>NITRD-IRAS-Intelligent Robotics and Autonomous Systems</t>
  </si>
  <si>
    <t>NITRD-LSDMA-Large-Scale Data Management and Analysis</t>
  </si>
  <si>
    <t>NITRD-SPSQ-Software Productivity, Sustainability and Quality</t>
  </si>
  <si>
    <t>Quantum Information Science (QIS)</t>
  </si>
  <si>
    <t>QIS-QADV-Foundational Quantum Information Science Advances</t>
  </si>
  <si>
    <t>QIS-QCOMP-Quantum Computing</t>
  </si>
  <si>
    <t>QIS-QNET-Quantum Networks and Communications</t>
  </si>
  <si>
    <t>QIS-QSENS-Quantum Sensing and Metrology</t>
  </si>
  <si>
    <t>QIS-QTAPP-Future Applications</t>
  </si>
  <si>
    <t>QIS-QTRM-Risk Mitigation</t>
  </si>
  <si>
    <t>QIS-QTSUP-Supporting Technology</t>
  </si>
  <si>
    <t>U.S. Global Change Research Program (USGCRP)</t>
  </si>
  <si>
    <t>USGCRP-Communication and Education</t>
  </si>
  <si>
    <t>USGCRP-Integrated Modeling</t>
  </si>
  <si>
    <t>USGCRP-Integrated Observations</t>
  </si>
  <si>
    <t>USGCRP-Multidisciplinary Earth and Human System Understanding</t>
  </si>
  <si>
    <t>USGCRP-Science of Adaptation and Science to Inform Adaptation Decisions</t>
  </si>
  <si>
    <t>Other Non-ADD</t>
  </si>
  <si>
    <t>AGEP Graduate Research Supplements</t>
  </si>
  <si>
    <t>AIMS Preconstruction</t>
  </si>
  <si>
    <t>Antarctic Research Vessel</t>
  </si>
  <si>
    <t>Broadening Participation in Biology Fellowships (incl. in PRFB)</t>
  </si>
  <si>
    <t>Broadening Participation in Engineering (BPE)</t>
  </si>
  <si>
    <t>CISE Education and Workforce</t>
  </si>
  <si>
    <t>CISE-MSI Research Expansion Program</t>
  </si>
  <si>
    <t>COVID Disproportionate Impacts to Institutions/Individuals</t>
  </si>
  <si>
    <t>COVID Research</t>
  </si>
  <si>
    <t>COVID-19 Impacts</t>
  </si>
  <si>
    <t>Disability and Rehabilitation Engineering (DARE)</t>
  </si>
  <si>
    <t>Ethical and Responsible Research (ER2)</t>
  </si>
  <si>
    <t>Grant Opportunities for Academic Liaison with Industry (GOALI)</t>
  </si>
  <si>
    <t>Innovative Technology Experiences for Teachers &amp; Students (ITEST)(H1-B)</t>
  </si>
  <si>
    <t>Leadership Class Computing Facility</t>
  </si>
  <si>
    <t>LHC Upgrade</t>
  </si>
  <si>
    <t>LIGO Enhancement</t>
  </si>
  <si>
    <t>National Earthquake Hazards Reduction Program (NEHRP)</t>
  </si>
  <si>
    <t>NSF Scholarships in STEM (S-STEM) (H-1B)</t>
  </si>
  <si>
    <t>Partnerships for Research &amp; Education in Materials (PREM)</t>
  </si>
  <si>
    <t>Plant Genome Research</t>
  </si>
  <si>
    <t>QIS Research Centers</t>
  </si>
  <si>
    <t>Racial Equity Related Activities</t>
  </si>
  <si>
    <t>Research at Undergraduate Institutions (RUI)</t>
  </si>
  <si>
    <t>Research in Disabilities Education (RDE)</t>
  </si>
  <si>
    <t>Research on Gender in Science &amp; Engineering (GSE)</t>
  </si>
  <si>
    <t>SBE Build and Broaden</t>
  </si>
  <si>
    <t>SBE Science of Broadening Participation</t>
  </si>
  <si>
    <t>Significant Opportunities in Atmospheric Rsch &amp; Sci (SOARS)</t>
  </si>
  <si>
    <t>Spectrum Innovation Initiative</t>
  </si>
  <si>
    <t>BIOTotal</t>
  </si>
  <si>
    <t>CISETotal</t>
  </si>
  <si>
    <t>ENGTotal</t>
  </si>
  <si>
    <t>GEOTotal</t>
  </si>
  <si>
    <t>MPSTotal</t>
  </si>
  <si>
    <t>SBETotal</t>
  </si>
  <si>
    <t>TIPTotal</t>
  </si>
  <si>
    <t>OISETotal</t>
  </si>
  <si>
    <t>TotalTotal</t>
  </si>
  <si>
    <t>GEO/OPPPLR</t>
  </si>
  <si>
    <t>USALSTotal</t>
  </si>
  <si>
    <t>OIAIA</t>
  </si>
  <si>
    <t>OIAEPSCoR</t>
  </si>
  <si>
    <t>USARCTotal</t>
  </si>
  <si>
    <t>ADDTotalTotalTotal</t>
  </si>
  <si>
    <t>EDUTotal</t>
  </si>
  <si>
    <t>MREFCTotal</t>
  </si>
  <si>
    <t>AOAMTotal</t>
  </si>
  <si>
    <t>OIGTotal</t>
  </si>
  <si>
    <t>NSBTotal</t>
  </si>
  <si>
    <t>Data Checks</t>
  </si>
  <si>
    <r>
      <rPr>
        <b/>
        <sz val="14"/>
        <color rgb="FF000000"/>
        <rFont val="Times New Roman"/>
        <family val="1"/>
      </rPr>
      <t xml:space="preserve">2024 OMB 2023 Request
</t>
    </r>
    <r>
      <rPr>
        <b/>
        <sz val="14"/>
        <color rgb="FF000000"/>
        <rFont val="Times New Roman"/>
        <family val="1"/>
      </rPr>
      <t xml:space="preserve">Thematic Master
</t>
    </r>
    <r>
      <rPr>
        <b/>
        <sz val="10"/>
        <color rgb="FF000000"/>
        <rFont val="Times New Roman"/>
        <family val="1"/>
      </rPr>
      <t>Dollars in Millions</t>
    </r>
  </si>
  <si>
    <t>Facility Operation Transition</t>
  </si>
  <si>
    <t>Growing Resrch Access for Nationally Transformative Equity &amp; Diversity (GRANTED)</t>
  </si>
  <si>
    <t>STCs – 2023 Class</t>
  </si>
  <si>
    <t>CSGrad4US</t>
  </si>
  <si>
    <t>Experiential Learning for Emerging and Novel Technologies (ExLENT)</t>
  </si>
  <si>
    <t>STEM ED Postdoctoral Research Fellowships</t>
  </si>
  <si>
    <t>Equity and Compliance in Research</t>
  </si>
  <si>
    <t>USGCRP-Information Management and Sharing</t>
  </si>
  <si>
    <t>Center for High Resolution Neutron Scattering (CHRNS)</t>
  </si>
  <si>
    <t>ChemMatCARS</t>
  </si>
  <si>
    <t>Climate Related activities (non-USGCRP, non-CET</t>
  </si>
  <si>
    <t>EFRI:REM - Emerging Frontiers in Research and Innovation: Research Experience and Mentoring</t>
  </si>
  <si>
    <t>Greenhouse Gas (GHG) Research</t>
  </si>
  <si>
    <t>HDR:DSC – Harnessing the Data Revolution: Data Science Corps</t>
  </si>
  <si>
    <t>MPS LEAPS</t>
  </si>
  <si>
    <t>MPS Partnerships for Research &amp; Education</t>
  </si>
  <si>
    <t>National Windstorm Impacts Reduction Program (NWIRP)</t>
  </si>
  <si>
    <t>FY 2022
Enacted</t>
  </si>
  <si>
    <t>National Science Board</t>
  </si>
  <si>
    <t>FY 2023
House
Mark</t>
  </si>
  <si>
    <t>FY 2023
Senate
Mark</t>
  </si>
  <si>
    <t>FY 2023
Conference</t>
  </si>
  <si>
    <t>(Dollars in Millions)</t>
  </si>
  <si>
    <t>NSF Accounts</t>
  </si>
  <si>
    <t>FY 2023
Account
Targets</t>
  </si>
  <si>
    <t>FY 2022 Current Plan</t>
  </si>
  <si>
    <t>FY 2023 Request</t>
  </si>
  <si>
    <t>FY 2023 Conference</t>
  </si>
  <si>
    <t>FY 2022 Enacted</t>
  </si>
  <si>
    <t>TBD</t>
  </si>
  <si>
    <t>Amount</t>
  </si>
  <si>
    <t>Percent</t>
  </si>
  <si>
    <t>FY 2023 House Marks</t>
  </si>
  <si>
    <t>FY 2023 Senate Marks</t>
  </si>
  <si>
    <t>Theme
Assignments</t>
  </si>
  <si>
    <t>Managing
Entity</t>
  </si>
  <si>
    <t>Equity</t>
  </si>
  <si>
    <t>OECR</t>
  </si>
  <si>
    <t>Non-theme IA</t>
  </si>
  <si>
    <t>Facility Operations Transition (Risk Mitigation)</t>
  </si>
  <si>
    <t>CORF</t>
  </si>
  <si>
    <t>GRANTED</t>
  </si>
  <si>
    <t>Growing Convergence Research</t>
  </si>
  <si>
    <t>HBCU-EiR</t>
  </si>
  <si>
    <t>Major Research Instrumentation</t>
  </si>
  <si>
    <t>Research Infra.</t>
  </si>
  <si>
    <t>Mid-scale Research Infrastructure (Track 1)</t>
  </si>
  <si>
    <t>Research Investment Communications</t>
  </si>
  <si>
    <t>OLPA</t>
  </si>
  <si>
    <t>CRSSP</t>
  </si>
  <si>
    <t>STC Class of 2023</t>
  </si>
  <si>
    <t>STC Administration</t>
  </si>
  <si>
    <t>Science and Technology Policy Institute</t>
  </si>
  <si>
    <t>O/D</t>
  </si>
  <si>
    <t>Total, Integrative Activities</t>
  </si>
  <si>
    <t>+4% over FY 2022 Enacted</t>
  </si>
  <si>
    <t>+4% over
FY 2022 Enacted</t>
  </si>
  <si>
    <t>Draft
FY 2023
Allocations</t>
  </si>
  <si>
    <t>Assumed
Planning
Level</t>
  </si>
  <si>
    <t>Assumed Planning Level change over:</t>
  </si>
  <si>
    <t>FY 2023 House Mark</t>
  </si>
  <si>
    <t>FY 2023 Senate Mark</t>
  </si>
  <si>
    <t>Select assumed FY 2023 account level targets--&gt;</t>
  </si>
  <si>
    <t>Current assumptions above support:</t>
  </si>
  <si>
    <t>- Establishing 'Equity and Compliance in Research' at the level proposed in the FY 2023 Request</t>
  </si>
  <si>
    <t>- Increasing EPSCoR, +4% in line with NSF bottom line</t>
  </si>
  <si>
    <t>- Increasing RSSP by $1.0 million to a total budget level of $2.5 million (equal to the FY 2023 Request)</t>
  </si>
  <si>
    <t>*All other IA budget lines are set at the lower level between FY 2022 Current Plan and FY 2023 Request</t>
  </si>
  <si>
    <t>- Establishing the GRANTED program at the full $50.0 million proposed in the FY 2023 Request</t>
  </si>
  <si>
    <t>Draft FY 2023 Allocations change over:</t>
  </si>
  <si>
    <r>
      <t>Integrative Activities</t>
    </r>
    <r>
      <rPr>
        <b/>
        <vertAlign val="superscript"/>
        <sz val="10"/>
        <color theme="1"/>
        <rFont val="Open Sans"/>
        <family val="2"/>
      </rPr>
      <t>1</t>
    </r>
  </si>
  <si>
    <t>STC
Class of
2013</t>
  </si>
  <si>
    <t>STC
Class of
2023</t>
  </si>
  <si>
    <t>FY 2023
Request
Plus-up</t>
  </si>
  <si>
    <t>FY 2023 Request
STC
Class of
2023</t>
  </si>
  <si>
    <t>N/A</t>
  </si>
  <si>
    <r>
      <t>FY 2023 Transfers/Anomalies</t>
    </r>
    <r>
      <rPr>
        <vertAlign val="superscript"/>
        <sz val="9"/>
        <color theme="1"/>
        <rFont val="Open Sans"/>
        <family val="2"/>
      </rPr>
      <t>1</t>
    </r>
  </si>
  <si>
    <r>
      <t>Remaining
MREFC
Transfer</t>
    </r>
    <r>
      <rPr>
        <vertAlign val="superscript"/>
        <sz val="9"/>
        <color theme="1"/>
        <rFont val="Open Sans"/>
        <family val="2"/>
      </rPr>
      <t>3</t>
    </r>
  </si>
  <si>
    <r>
      <t>AOAM
Transfer</t>
    </r>
    <r>
      <rPr>
        <vertAlign val="superscript"/>
        <sz val="9"/>
        <color theme="1"/>
        <rFont val="Open Sans"/>
        <family val="2"/>
      </rPr>
      <t>2</t>
    </r>
  </si>
  <si>
    <t>Remaining
to
Allocate</t>
  </si>
  <si>
    <t>- Sustaining decision to increase STCs - Class of 2023 by $12.0 million (in addition to the recouped $15.0 million Class of 2013 funding pulled from BIO, CISE, and MPS base budgets)</t>
  </si>
  <si>
    <t>&lt;--This decision is only +$12.0 million since $15.0 million is coming from BIO, CISE, and MPS base budgets (recouping Class of 2013 funding as seen on display tab)</t>
  </si>
  <si>
    <t>Change over:</t>
  </si>
  <si>
    <t>Account</t>
  </si>
  <si>
    <t>ORG</t>
  </si>
  <si>
    <t>Line Item</t>
  </si>
  <si>
    <t>Multiple</t>
  </si>
  <si>
    <t>SBIR/STTR</t>
  </si>
  <si>
    <t>Full-year
CR</t>
  </si>
  <si>
    <t>+4%
Increase</t>
  </si>
  <si>
    <t>New Resources</t>
  </si>
  <si>
    <t>GRFP
Increase</t>
  </si>
  <si>
    <t>Assumed 4% increase above FY 2022 Enacted</t>
  </si>
  <si>
    <t>+4% Scenario Increments</t>
  </si>
  <si>
    <t>New
Resources
(+4%)</t>
  </si>
  <si>
    <t>Resource change over:</t>
  </si>
  <si>
    <t>FY 2022
Enacted
(Resource
Base)</t>
  </si>
  <si>
    <t>FY 2022
CP
(Allocation Base)</t>
  </si>
  <si>
    <t>RESOURCES</t>
  </si>
  <si>
    <t>ALLOCATIONS</t>
  </si>
  <si>
    <t>NYABO</t>
  </si>
  <si>
    <t>AOAM
Increase</t>
  </si>
  <si>
    <t>Potential
FY 2023
Allocation</t>
  </si>
  <si>
    <t>FY 2023 
House 
Mark</t>
  </si>
  <si>
    <t>FY 2023 
Senate 
Mark</t>
  </si>
  <si>
    <t>Alliances for Graduate Education and the Professoriate (AGEP)</t>
  </si>
  <si>
    <t>Centers for Research Excellence in Science and Technology (CREST)</t>
  </si>
  <si>
    <t>Cybercorps®: Scholarship for Service (SFS)</t>
  </si>
  <si>
    <t>EDU Core Research (ECR): STEM Learning</t>
  </si>
  <si>
    <t>Excellence Awards in Science and Engineering (EASE)</t>
  </si>
  <si>
    <t>Hispanic Serving Institutions (HSI) Program</t>
  </si>
  <si>
    <t>Historically Black Colleges and Universities Undergraduate Program (HBCU-UP)</t>
  </si>
  <si>
    <t>STEM ED Postdoctoral Research</t>
  </si>
  <si>
    <t>Tribal Colleges and Universities Program (TCUP)</t>
  </si>
  <si>
    <t>Total, EDU</t>
  </si>
  <si>
    <t>`</t>
  </si>
  <si>
    <t>Excess MREFC Funding</t>
  </si>
  <si>
    <r>
      <rPr>
        <vertAlign val="superscript"/>
        <sz val="8"/>
        <color theme="1"/>
        <rFont val="Open Sans"/>
        <family val="2"/>
      </rPr>
      <t xml:space="preserve">3 </t>
    </r>
    <r>
      <rPr>
        <sz val="8"/>
        <color theme="1"/>
        <rFont val="Open Sans"/>
        <family val="2"/>
      </rPr>
      <t>Additional amount possible to shift out of MREFC account and still maintain funding levels outlined in FY 2023 Request. Transfer could be directed to either RRA, EDU, or AOAM as desired.</t>
    </r>
  </si>
  <si>
    <t>Notes:</t>
  </si>
  <si>
    <t>Tech.
Adjs.</t>
  </si>
  <si>
    <r>
      <rPr>
        <vertAlign val="superscript"/>
        <sz val="8"/>
        <color theme="1"/>
        <rFont val="Open Sans"/>
        <family val="2"/>
      </rPr>
      <t xml:space="preserve">2 </t>
    </r>
    <r>
      <rPr>
        <sz val="8"/>
        <color theme="1"/>
        <rFont val="Open Sans"/>
        <family val="2"/>
      </rPr>
      <t>Maximum transfer into AOAM in full-year CR scenario is $40.0 million.</t>
    </r>
  </si>
  <si>
    <t>Full-year CR increments</t>
  </si>
  <si>
    <t>DRAFT in Progress</t>
  </si>
  <si>
    <t>FTE</t>
  </si>
  <si>
    <t>FY 2022
Transfer
In</t>
  </si>
  <si>
    <t>• Increase of $15.10 million over the FY 2022 Current Plan funds:</t>
  </si>
  <si>
    <t>• COLA adjustment</t>
  </si>
  <si>
    <t>• Current Services level for non-FTE related costs</t>
  </si>
  <si>
    <t>• Increase of $35.10 million over the FY 2022 Current Plan funds:</t>
  </si>
  <si>
    <t>• Flat FTE level (1,400 total FTE)</t>
  </si>
  <si>
    <t>AOAM Option 2 - increase FTE to 1,450, or 50 FTE above the FY 2022 Current Plan</t>
  </si>
  <si>
    <t>AOAM Dollars</t>
  </si>
  <si>
    <t>• Does O/D wish to support a flat FTE level (1,400 FTE) or an increased FTE level (1,450 FTE)?</t>
  </si>
  <si>
    <t>AOAM Option 1 - Flat FTE level equal to FY 2022 Current Plan</t>
  </si>
  <si>
    <t>• Both options support COLA adjustment increases and the Current Services amounts for non-FTE related costs.</t>
  </si>
  <si>
    <t>FY 2023
Draft
Allocation</t>
  </si>
  <si>
    <t>FY 2023 Draft Allocation change over:</t>
  </si>
  <si>
    <r>
      <t>Max
Transfer In
(10%)</t>
    </r>
    <r>
      <rPr>
        <vertAlign val="superscript"/>
        <sz val="10"/>
        <color theme="1"/>
        <rFont val="Open Sans"/>
        <family val="2"/>
      </rPr>
      <t>1</t>
    </r>
  </si>
  <si>
    <t>FY 2022
Enacted
Amount</t>
  </si>
  <si>
    <t>Full-year CR Scenario</t>
  </si>
  <si>
    <t>NSF Transfer Authority Thresholds</t>
  </si>
  <si>
    <r>
      <rPr>
        <vertAlign val="superscript"/>
        <sz val="8"/>
        <color theme="1"/>
        <rFont val="Open Sans"/>
        <family val="2"/>
      </rPr>
      <t xml:space="preserve">1 </t>
    </r>
    <r>
      <rPr>
        <sz val="8"/>
        <color theme="1"/>
        <rFont val="Open Sans"/>
        <family val="2"/>
      </rPr>
      <t>Does not include transfer authority for GRFP consolidation per Title III of the Commerce, Justice, Science, and Related Agencies Appropriations Act, 2022, paragraph 2. GRFP transfer would be in addition to the EDU articulated transfer in amount.</t>
    </r>
  </si>
  <si>
    <r>
      <rPr>
        <vertAlign val="superscript"/>
        <sz val="8"/>
        <color theme="1"/>
        <rFont val="Open Sans"/>
        <family val="2"/>
      </rPr>
      <t>1</t>
    </r>
    <r>
      <rPr>
        <sz val="8"/>
        <color theme="1"/>
        <rFont val="Open Sans"/>
        <family val="2"/>
      </rPr>
      <t xml:space="preserve"> Desired transfer amounts may exceed maximum transfer authority. Review to determine viable transfer vs. anomaly request amounts.</t>
    </r>
  </si>
  <si>
    <r>
      <t>GRFP
Transfer</t>
    </r>
    <r>
      <rPr>
        <vertAlign val="superscript"/>
        <sz val="9"/>
        <color theme="1"/>
        <rFont val="Open Sans"/>
        <family val="2"/>
      </rPr>
      <t>4</t>
    </r>
  </si>
  <si>
    <r>
      <rPr>
        <vertAlign val="superscript"/>
        <sz val="8"/>
        <color theme="1"/>
        <rFont val="Open Sans"/>
        <family val="2"/>
      </rPr>
      <t>4</t>
    </r>
    <r>
      <rPr>
        <sz val="8"/>
        <color theme="1"/>
        <rFont val="Open Sans"/>
        <family val="2"/>
      </rPr>
      <t xml:space="preserve"> Repeats FY 2022 GRFP transfer to consolidate the program within EDU.</t>
    </r>
  </si>
  <si>
    <t>Shading indicates where NSF transfer authority is exceeded.</t>
  </si>
  <si>
    <t>&lt;--total new resources in +4% scenario.</t>
  </si>
  <si>
    <t>&lt;--remaining to allocate</t>
  </si>
  <si>
    <t>The decision on FTE level here may impact strategy for achieving NSF account level totals (i.e. whether a desired AOAM level can be achieved using NSF's transfer authority).</t>
  </si>
  <si>
    <t>Astro2020
D&amp;D</t>
  </si>
  <si>
    <t>FY 2023 Accounts change over:</t>
  </si>
  <si>
    <t>"New resources" assumptions are predicated upon working with Congress to receive updated account totals</t>
  </si>
  <si>
    <t>[Placeholder for other base repurposing]</t>
  </si>
  <si>
    <t>Amount exceeds NSF transfer authority threshold;</t>
  </si>
  <si>
    <t>&lt;--Before any decisions are made, total amount available for allocations</t>
  </si>
  <si>
    <t>• The +50 FTE increase would cost $20.0 million more than the flat FTE option.</t>
  </si>
  <si>
    <t>Desired
Cong. Allocations</t>
  </si>
  <si>
    <t>+4% Increase over FY 2022 Enacted Scenario</t>
  </si>
  <si>
    <t>Resources Available Above FY 2022 Current Plan Level by Scenario</t>
  </si>
  <si>
    <t>**Does not include any service expansions including those that may be associated with CHIPS Act implementation.</t>
  </si>
  <si>
    <t>Mjr.
Facs.
O&amp;M</t>
  </si>
  <si>
    <t>IA
Budget
Lines</t>
  </si>
  <si>
    <t>NSDS</t>
  </si>
  <si>
    <t>CHIPS
Impl.</t>
  </si>
  <si>
    <t>Other
Cong
Direction</t>
  </si>
  <si>
    <t>TIP
Increase</t>
  </si>
  <si>
    <r>
      <rPr>
        <b/>
        <sz val="14"/>
        <color rgb="FF000000"/>
        <rFont val="Times New Roman"/>
        <family val="1"/>
      </rPr>
      <t xml:space="preserve">2022 CONG 2022 Actual
</t>
    </r>
    <r>
      <rPr>
        <b/>
        <sz val="14"/>
        <color rgb="FF000000"/>
        <rFont val="Times New Roman"/>
        <family val="1"/>
      </rPr>
      <t xml:space="preserve">Thematic Master
</t>
    </r>
    <r>
      <rPr>
        <b/>
        <sz val="10"/>
        <color rgb="FF000000"/>
        <rFont val="Times New Roman"/>
        <family val="1"/>
      </rPr>
      <t>Dollars in Millions</t>
    </r>
  </si>
  <si>
    <t>Innovative Technology Experiences for Teachers &amp; Students (ITEST)(H-1B)</t>
  </si>
  <si>
    <r>
      <rPr>
        <b/>
        <sz val="14"/>
        <color rgb="FF000000"/>
        <rFont val="Times New Roman"/>
        <family val="1"/>
      </rPr>
      <t xml:space="preserve">2023 CONG 2023 Request
</t>
    </r>
    <r>
      <rPr>
        <b/>
        <sz val="14"/>
        <color rgb="FF000000"/>
        <rFont val="Times New Roman"/>
        <family val="1"/>
      </rPr>
      <t xml:space="preserve">Thematic Master
</t>
    </r>
    <r>
      <rPr>
        <b/>
        <sz val="10"/>
        <color rgb="FF000000"/>
        <rFont val="Times New Roman"/>
        <family val="1"/>
      </rPr>
      <t>Dollars in Millions</t>
    </r>
  </si>
  <si>
    <t>NATIONAL SCIENCE FOUNDATION</t>
  </si>
  <si>
    <t>ADMINISTRATION PRIORITIES AND CROSSCUTTING RESEARCH TOPICS SUMMARY</t>
  </si>
  <si>
    <t>NON ADDCross-Foundation ActivitiesClean Energy TechnologyTotal</t>
  </si>
  <si>
    <t>NON ADDNSTC Crosscuts (excl. HSA)U.S. Global Change Research Program (USGCRP)Total</t>
  </si>
  <si>
    <t>NSTC Crosscut
Clean Energy Technology</t>
  </si>
  <si>
    <t>NSTC Crosscut
U.S. Global Change Research Program</t>
  </si>
  <si>
    <t>FY 2022
Actual</t>
  </si>
  <si>
    <t>FY 2022 Actual</t>
  </si>
  <si>
    <t>USGCRP</t>
  </si>
  <si>
    <t>OPP</t>
  </si>
  <si>
    <t>OIATotal</t>
  </si>
  <si>
    <t>R&amp;RA</t>
  </si>
  <si>
    <t>Total, NSF</t>
  </si>
  <si>
    <t>Advanced Manufacturing</t>
  </si>
  <si>
    <t>NON ADDCross-Foundation ActivitiesArtificial Intelligence (AI)Total</t>
  </si>
  <si>
    <t>Artificial Intelligence</t>
  </si>
  <si>
    <t>NON ADDNSTC Crosscuts (excl. HSA)Quantum Information Science (QIS)Total</t>
  </si>
  <si>
    <t>NSTC Crosscut
Quantum Information Science</t>
  </si>
  <si>
    <t>NSTC Crosscut
National Nanotechnology Initiative (NNI)</t>
  </si>
  <si>
    <t>NSTC Crosscut
Networking &amp; Information Technology R&amp;D (NITRD)</t>
  </si>
  <si>
    <t>ADDDiscoveryNSF Regional Innovation Engines (NSF Engines)Total</t>
  </si>
  <si>
    <t>FY 2023
House</t>
  </si>
  <si>
    <t>Climate Science and Sustainability Research</t>
  </si>
  <si>
    <t>Regional Innovation Engines</t>
  </si>
  <si>
    <t>IODP</t>
  </si>
  <si>
    <t>TIP Directorate</t>
  </si>
  <si>
    <t>Harmful Algal Blooms</t>
  </si>
  <si>
    <t>Navigating the New Arctic</t>
  </si>
  <si>
    <t>Sustainable Chemistry Research</t>
  </si>
  <si>
    <t>Quantum Information Science</t>
  </si>
  <si>
    <t>Innovation Corps</t>
  </si>
  <si>
    <t>Fairness in Merit Review</t>
  </si>
  <si>
    <t>Research Security</t>
  </si>
  <si>
    <r>
      <rPr>
        <vertAlign val="superscript"/>
        <sz val="9"/>
        <color theme="1"/>
        <rFont val="Open Sans"/>
        <family val="2"/>
      </rPr>
      <t>1</t>
    </r>
    <r>
      <rPr>
        <sz val="9"/>
        <color theme="1"/>
        <rFont val="Open Sans"/>
        <family val="2"/>
      </rPr>
      <t xml:space="preserve"> FY 2022 column show Convergence Accelerator shifted to TIP, GRFP consolidated within EHR, and FOT funding allocated to managing orgs.</t>
    </r>
  </si>
  <si>
    <t>Research Security and Integrity Information Sharing Analysis Organization</t>
  </si>
  <si>
    <t>New
Fellows</t>
  </si>
  <si>
    <t>Details</t>
  </si>
  <si>
    <t>Increases above FY 2022 Current Plan</t>
  </si>
  <si>
    <t>Budget
($M)</t>
  </si>
  <si>
    <t>COE
($k)</t>
  </si>
  <si>
    <t>Stipend
($k)</t>
  </si>
  <si>
    <t>**Figures above do NOT implement the CHIPS and Science Act COE direction.</t>
  </si>
  <si>
    <t>GRFP</t>
  </si>
  <si>
    <t>FY 2023 Scenario</t>
  </si>
  <si>
    <t xml:space="preserve"> </t>
  </si>
  <si>
    <t xml:space="preserve">FY 2022 Current Plan
</t>
  </si>
  <si>
    <t>2,500 fellows + Stipend Increase</t>
  </si>
  <si>
    <t>2,100 New Fellows + Stipend Increase</t>
  </si>
  <si>
    <r>
      <t>+4% funding level of $30</t>
    </r>
    <r>
      <rPr>
        <sz val="10"/>
        <rFont val="Open Sans"/>
        <family val="2"/>
      </rPr>
      <t>2 million</t>
    </r>
  </si>
  <si>
    <t xml:space="preserve">Flat funding level of $290 million
</t>
  </si>
  <si>
    <t xml:space="preserve">2,750 New Fellows + Stipend Increase
</t>
  </si>
  <si>
    <t>• Additional 50 FTE, including associated OIRM onboarding expenses (1,450 total FTE)</t>
  </si>
  <si>
    <t>FY 2023
Omnibus</t>
  </si>
  <si>
    <t>NSF STEM Education Account Program Comparisons</t>
  </si>
  <si>
    <t>Up to</t>
  </si>
  <si>
    <t>No less than</t>
  </si>
  <si>
    <t>Eddie Bernice Johnson NSF INCLUDES</t>
  </si>
  <si>
    <t>Exact Amount</t>
  </si>
  <si>
    <t>No less than, and adopts House direction</t>
  </si>
  <si>
    <r>
      <rPr>
        <vertAlign val="superscript"/>
        <sz val="9"/>
        <color theme="1"/>
        <rFont val="Open Sans"/>
        <family val="2"/>
      </rPr>
      <t>1</t>
    </r>
    <r>
      <rPr>
        <sz val="9"/>
        <color theme="1"/>
        <rFont val="Open Sans"/>
        <family val="2"/>
      </rPr>
      <t xml:space="preserve"> Account total does not include the $125.0 million provided in Division N specifically in support of CHIPS Act activity.</t>
    </r>
  </si>
  <si>
    <t>Total Omnibus Joint Explanatory Statement Directed Programs</t>
  </si>
  <si>
    <t>Total Remaining for Unspecified Prgrams</t>
  </si>
  <si>
    <r>
      <t>FY 2023
Omnibus</t>
    </r>
    <r>
      <rPr>
        <vertAlign val="superscript"/>
        <sz val="10"/>
        <color theme="1"/>
        <rFont val="Open Sans"/>
        <family val="2"/>
      </rPr>
      <t>1</t>
    </r>
  </si>
  <si>
    <t>Omnibus
Explanatory Statement</t>
  </si>
  <si>
    <t>"supports the Regional Innovation Engines…"</t>
  </si>
  <si>
    <t>"supports the Directorate…"</t>
  </si>
  <si>
    <t>Clean Energy Tech.</t>
  </si>
  <si>
    <t>Not less than (combined USGCRP/CET)</t>
  </si>
  <si>
    <t>NQIA Sec. 301 Activities</t>
  </si>
  <si>
    <t>NQIA Sec. 302 Quantum Centers</t>
  </si>
  <si>
    <t>"No less than…" for EPSCoR program line; In addition to dollar amount, directs percent of total research/scholarship funding to EPSCoR states.</t>
  </si>
  <si>
    <t>"supports NSF's new GRANTED initiative…"</t>
  </si>
  <si>
    <t>Infrastructure Investments</t>
  </si>
  <si>
    <t>Unless otherwise noted, within amounts provided, NSF is directed to allocate no less than FY 2022 enacted levels…</t>
  </si>
  <si>
    <t>Astro2020 development and design</t>
  </si>
  <si>
    <t>Scientific Facilities and Instrumentation</t>
  </si>
  <si>
    <r>
      <t>No less than FY 2022 enacted….</t>
    </r>
    <r>
      <rPr>
        <sz val="10"/>
        <color rgb="FFFF0000"/>
        <rFont val="Open Sans"/>
        <family val="2"/>
      </rPr>
      <t>"fully funds maximum operating capacity of the CHEXS"</t>
    </r>
  </si>
  <si>
    <t>Green Bank Observatory</t>
  </si>
  <si>
    <t>No less than the requested level</t>
  </si>
  <si>
    <t>Mid-scale RI-1</t>
  </si>
  <si>
    <t>Up to the request level</t>
  </si>
  <si>
    <t>Academic Research Infrastructure</t>
  </si>
  <si>
    <t>"In particular…encouraged to support the construction or acquisition of local-class research vessels through the MRI or Mid-scale programs"</t>
  </si>
  <si>
    <t>Biological Infrastructure</t>
  </si>
  <si>
    <t>"directed to review its biological infrastructure…."</t>
  </si>
  <si>
    <t>Understanding Rules of Life</t>
  </si>
  <si>
    <t>"supports focus on plant genomics"</t>
  </si>
  <si>
    <t>encouraged to expand support of research and infrastructure in the North Atlantic…develop new multinational partnerships</t>
  </si>
  <si>
    <t>directed to continue research associated with program, encouraged to coordinate with OSTP to implement provisions of the FY 2021 NDAA</t>
  </si>
  <si>
    <t>VORTEX-SE</t>
  </si>
  <si>
    <t>Disaster Research</t>
  </si>
  <si>
    <t>Encouraged to look beyond traditional research disciplines…</t>
  </si>
  <si>
    <t>Encouraged to fund grants for meritorious landslide research, data collection, and warning systems.</t>
  </si>
  <si>
    <t>Seismology and Geodesy Facilities</t>
  </si>
  <si>
    <t>Supports recommendations of the NSF analysis titled "Portfolio Review of EAR Seismology and Geodesy Instrumentation"</t>
  </si>
  <si>
    <t>Shall brief the Committees, no later than 180 days after enactment of this act…</t>
  </si>
  <si>
    <t>Notes the importance….supports NSF's initiatives to create…continue to engage….directs report not later than 90 days after enactment of the Act</t>
  </si>
  <si>
    <t>Power Dynamics in the Research Community</t>
  </si>
  <si>
    <t>House language on "Power Dynamics in the Research Community" is adopted. Directs report to Committees not later than 180 days after enactment</t>
  </si>
  <si>
    <t>Directed Item</t>
  </si>
  <si>
    <t>MREFC Account</t>
  </si>
  <si>
    <t>Provides requested levels for all line items (including Mid-scale RI-2)</t>
  </si>
  <si>
    <t>Equal to FY 2022 Enacted</t>
  </si>
  <si>
    <t>?</t>
  </si>
  <si>
    <t>House
Report Language</t>
  </si>
  <si>
    <t>R&amp;RA/AOAM</t>
  </si>
  <si>
    <t>Arecibo</t>
  </si>
  <si>
    <t>Horizontal</t>
  </si>
  <si>
    <t>Vertical</t>
  </si>
  <si>
    <t>NON ADDOther Non-ADDQIS Research CentersTotal</t>
  </si>
  <si>
    <t>ADDDiscoveryHBCU Excellence in ResearchTotal</t>
  </si>
  <si>
    <t>ADDDiscoveryEPSCoRTotal</t>
  </si>
  <si>
    <t>ADDDiscoveryGrowing Resrch Access for Nationally Transformative Equity &amp; Diversity (GRANTED)Total</t>
  </si>
  <si>
    <t>ADDResearch InfrastructureGreen Bank Observatory (GBO)Total</t>
  </si>
  <si>
    <t>ADDResearch InfrastructureMSRIAP: Mid-scale Research Infrastructure Agency ProgramTotal</t>
  </si>
  <si>
    <t>Indistinct</t>
  </si>
  <si>
    <t>ADDDiscoveryBig IdeasUnderstanding the Rules of Life (URoL)</t>
  </si>
  <si>
    <t>ADDDiscoveryBig IdeasNavigating the New Arctic (NNA)</t>
  </si>
  <si>
    <t>ADDResearch InfrastructureInternational Ocean Discovery Program (IODP)Total</t>
  </si>
  <si>
    <t>See House</t>
  </si>
  <si>
    <t>ADDOrganizational Excellence - Program SupportResearch Security Strategy and PolicyTotal</t>
  </si>
  <si>
    <t>SBENCSES</t>
  </si>
  <si>
    <t>Unspecified</t>
  </si>
  <si>
    <t>Divestment</t>
  </si>
  <si>
    <t>Wildfire Research</t>
  </si>
  <si>
    <t>Carbon Dioxide Removal</t>
  </si>
  <si>
    <t>Supports the Request</t>
  </si>
  <si>
    <t>COVID-19 Research</t>
  </si>
  <si>
    <t>Critical Minerals</t>
  </si>
  <si>
    <t>Algorithmic Bias</t>
  </si>
  <si>
    <t>Content Moderation</t>
  </si>
  <si>
    <t>High Performance Computing</t>
  </si>
  <si>
    <t>DKIST</t>
  </si>
  <si>
    <t>Fully funds the request</t>
  </si>
  <si>
    <t>Combatting Anti-Asian Hate Crimes and Incidents</t>
  </si>
  <si>
    <t>SBE Sciences</t>
  </si>
  <si>
    <t>Dyslexia</t>
  </si>
  <si>
    <t>Industrial Innovation and Partnerships</t>
  </si>
  <si>
    <t>Great Lakes Research Fleet</t>
  </si>
  <si>
    <t>ADDResearch InfrastructureArecibo ObservatoryTotal</t>
  </si>
  <si>
    <t>ADDDiscoveryNSF Innovation Corps (I-Corps)Total</t>
  </si>
  <si>
    <t>ADDResearch InfrastructureDaniel K. Inouye Solar Telescope (DKIST)Total</t>
  </si>
  <si>
    <r>
      <t>FY 2023
Request</t>
    </r>
    <r>
      <rPr>
        <vertAlign val="superscript"/>
        <sz val="10"/>
        <rFont val="Open Sans"/>
        <family val="2"/>
      </rPr>
      <t>1</t>
    </r>
  </si>
  <si>
    <t>Not specifically referenced by name</t>
  </si>
  <si>
    <r>
      <t>FY 2023
Directed
Total</t>
    </r>
    <r>
      <rPr>
        <vertAlign val="superscript"/>
        <sz val="10"/>
        <rFont val="Open Sans"/>
        <family val="2"/>
      </rPr>
      <t>2</t>
    </r>
  </si>
  <si>
    <t>Direction
Source</t>
  </si>
  <si>
    <t>Omnibus</t>
  </si>
  <si>
    <t>House Rpt</t>
  </si>
  <si>
    <t>Directs NSF to provide funding to conduct study on national cyber workforce, and supports request to add personnel.</t>
  </si>
  <si>
    <t>Direction Language</t>
  </si>
  <si>
    <t>FY 2023 Congressional Direction (excl. EDU seen on separate tab)</t>
  </si>
  <si>
    <t>Congressional Direction excluding GRFP (captured elsewhere in Discussion Points list)</t>
  </si>
  <si>
    <r>
      <rPr>
        <vertAlign val="superscript"/>
        <sz val="9"/>
        <color theme="1"/>
        <rFont val="Open Sans"/>
        <family val="2"/>
      </rPr>
      <t>1</t>
    </r>
    <r>
      <rPr>
        <sz val="9"/>
        <color theme="1"/>
        <rFont val="Open Sans"/>
        <family val="2"/>
      </rPr>
      <t xml:space="preserve"> FY 2023 Request represents restated values per 2024 OMB Submission</t>
    </r>
  </si>
  <si>
    <r>
      <rPr>
        <vertAlign val="superscript"/>
        <sz val="9"/>
        <color theme="1"/>
        <rFont val="Open Sans"/>
        <family val="2"/>
      </rPr>
      <t>2</t>
    </r>
    <r>
      <rPr>
        <sz val="9"/>
        <color theme="1"/>
        <rFont val="Open Sans"/>
        <family val="2"/>
      </rPr>
      <t xml:space="preserve"> Represents directed funding level from either Explanatory Statement or House Report language as stipulated in the Omnibus Joint Explanatory Statement.</t>
    </r>
  </si>
  <si>
    <t>"N/A" indicates text did not specifically address a line item</t>
  </si>
  <si>
    <t>"Unspecified" indicates that text references a line item, but does not give a distinct funding level</t>
  </si>
  <si>
    <t>RIEs</t>
  </si>
  <si>
    <t>Astro2020</t>
  </si>
  <si>
    <t>Other Line Items</t>
  </si>
  <si>
    <t>AOAM Details</t>
  </si>
  <si>
    <t>Outstanding AOAM Decision (prior to release of omnibus)</t>
  </si>
  <si>
    <r>
      <t>Max
Transfer Out
(5%)</t>
    </r>
    <r>
      <rPr>
        <vertAlign val="superscript"/>
        <sz val="10"/>
        <color theme="1"/>
        <rFont val="Open Sans"/>
        <family val="2"/>
      </rPr>
      <t>1</t>
    </r>
  </si>
  <si>
    <t>FY 2023
Enacted
Amount</t>
  </si>
  <si>
    <r>
      <t>FY 2023 Omnibus</t>
    </r>
    <r>
      <rPr>
        <vertAlign val="superscript"/>
        <sz val="10"/>
        <color theme="1"/>
        <rFont val="Open Sans"/>
        <family val="2"/>
      </rPr>
      <t>2</t>
    </r>
  </si>
  <si>
    <r>
      <rPr>
        <vertAlign val="superscript"/>
        <sz val="8"/>
        <color theme="1"/>
        <rFont val="Open Sans"/>
        <family val="2"/>
      </rPr>
      <t>2</t>
    </r>
    <r>
      <rPr>
        <sz val="8"/>
        <color theme="1"/>
        <rFont val="Open Sans"/>
        <family val="2"/>
      </rPr>
      <t xml:space="preserve"> Excludes +$2.5M for facility wildfire disaster relief and funding appropriated specifically in support of the CHIPS and Science Act ($210M for RRA and $125M for EDU); total of $337.5M excluded.</t>
    </r>
  </si>
  <si>
    <r>
      <t>FY 2023 Directed change over</t>
    </r>
    <r>
      <rPr>
        <vertAlign val="superscript"/>
        <sz val="10"/>
        <rFont val="Open Sans"/>
        <family val="2"/>
      </rPr>
      <t>3</t>
    </r>
  </si>
  <si>
    <r>
      <rPr>
        <vertAlign val="superscript"/>
        <sz val="9"/>
        <rFont val="Open Sans"/>
        <family val="2"/>
      </rPr>
      <t>3</t>
    </r>
    <r>
      <rPr>
        <sz val="9"/>
        <rFont val="Open Sans"/>
        <family val="2"/>
      </rPr>
      <t xml:space="preserve"> Change over formulas only display increases needed - in some instances FY 2022 Current Plan or Actual is higher than FY 2023 direction.</t>
    </r>
  </si>
  <si>
    <t xml:space="preserve">Research on Research Security Program </t>
  </si>
  <si>
    <t>Scenario 1 (R&amp;RA): $2.5 M</t>
  </si>
  <si>
    <t>▪Planning grant to develop the concept for the Risk Analysis Center ($2.0 M)</t>
  </si>
  <si>
    <t>▪Planning grant to develop a concept for a research on research security program ($500,000)</t>
  </si>
  <si>
    <t>Scenario 2 (R&amp;RA): $5 M</t>
  </si>
  <si>
    <t>▪Award and manage research grants for research on research security program ($2.0 M)</t>
  </si>
  <si>
    <t>▪Award and manage research grants for a scaled-up research on research security program ($3.0 M)</t>
  </si>
  <si>
    <t>Scenario 4 (R&amp;RA): $13 M</t>
  </si>
  <si>
    <t xml:space="preserve">▪Oversee the planning and implementation of a RAC, carrying out the duties mandated in the CHIPS+; however, </t>
  </si>
  <si>
    <t xml:space="preserve">   falling short of conducting comprehensive open-source exploitation due to a lack of funding for license agreements</t>
  </si>
  <si>
    <t xml:space="preserve">   for two databases, which provide critical access to peer-reviewed scientific journals ($10.0 M)</t>
  </si>
  <si>
    <t>Scenario 5 (R&amp;RA): $16 M</t>
  </si>
  <si>
    <t xml:space="preserve">▪Oversee the planning and implementation of a fully functional RAC, fulfilling all of the duties mandated </t>
  </si>
  <si>
    <t xml:space="preserve">     in CHIPS+ with all the necessary resources to provide the most valuable information on research security </t>
  </si>
  <si>
    <t xml:space="preserve">     threats to the research community. ($13.0 M)</t>
  </si>
  <si>
    <t>Scenario 1</t>
  </si>
  <si>
    <t>Scenario 3</t>
  </si>
  <si>
    <t>Scenario 4</t>
  </si>
  <si>
    <t>Scenario 5</t>
  </si>
  <si>
    <t>FY 2023 Current Plan</t>
  </si>
  <si>
    <t>AOAM Funding</t>
  </si>
  <si>
    <t>Scenario 2</t>
  </si>
  <si>
    <t>Total OCRSSP Funding all Sources</t>
  </si>
  <si>
    <t>Ways for NSF to Reach 15.5% EPSCoR Funding Level</t>
  </si>
  <si>
    <t>GRANTED -- $35 million</t>
  </si>
  <si>
    <t>$25 million to fund awards in EPSCoR jurisdictions</t>
  </si>
  <si>
    <t>$10 million for emerging research instituions (ERIs) in non-EPSCoR jurisdictions</t>
  </si>
  <si>
    <t>$80 million to fund awards in EPSCoR jurisdictions</t>
  </si>
  <si>
    <t>Building Capacity Program(s) -- $110 M</t>
  </si>
  <si>
    <t>$30 million for emerging research instituions (ERIs) in non-EPSCoR jurisdictions</t>
  </si>
  <si>
    <t>$55 million to fund awards in EPSCoR jurisdictions</t>
  </si>
  <si>
    <t>$20 million for emerging research instituions (ERIs) in non-EPSCoR jurisdictions</t>
  </si>
  <si>
    <t>Research Infrastructure Program(s) -- $75 million</t>
  </si>
  <si>
    <t>Scenario 1 (AOAM): $1.5 M</t>
  </si>
  <si>
    <t>▪Post-award monitoring and implementation of the four research security training modules as mandated in the Chips + Science Act (solicitation NSF 22-576). ($500,000)</t>
  </si>
  <si>
    <t>▪Run queries on foreign influence, documenting the outcomes in digestible pieces to be shared that may be shared inside NSF and the interagency community. ($1.0 M)</t>
  </si>
  <si>
    <t>▪Implement reporting on financial disclosure requirements ($500,000)</t>
  </si>
  <si>
    <t>Scenario 2 (AOAM): $2 M</t>
  </si>
  <si>
    <r>
      <t>OCRSSP Programs</t>
    </r>
    <r>
      <rPr>
        <b/>
        <sz val="10"/>
        <color rgb="FFC00000"/>
        <rFont val="Calibri"/>
        <family val="2"/>
        <scheme val="minor"/>
      </rPr>
      <t xml:space="preserve"> - AOAM Funded</t>
    </r>
  </si>
  <si>
    <r>
      <t>OCRSSP Programs</t>
    </r>
    <r>
      <rPr>
        <b/>
        <sz val="10"/>
        <color rgb="FFC00000"/>
        <rFont val="Calibri"/>
        <family val="2"/>
        <scheme val="minor"/>
      </rPr>
      <t xml:space="preserve"> - R&amp;RA Funded</t>
    </r>
  </si>
  <si>
    <r>
      <rPr>
        <sz val="10"/>
        <color theme="1"/>
        <rFont val="Arial"/>
        <family val="2"/>
      </rPr>
      <t>▪</t>
    </r>
    <r>
      <rPr>
        <sz val="10"/>
        <color theme="1"/>
        <rFont val="Calibri"/>
        <family val="2"/>
        <scheme val="minor"/>
      </rPr>
      <t>Planning grant to develop the concept for the Risk Analysis Center ($3.0 M)</t>
    </r>
  </si>
  <si>
    <r>
      <t xml:space="preserve">▪Oversee the planning and implementation of a Risk Assessment Center (RAC), incorporating </t>
    </r>
    <r>
      <rPr>
        <i/>
        <u/>
        <sz val="10"/>
        <color rgb="FF000000"/>
        <rFont val="Calibri"/>
        <family val="2"/>
        <scheme val="minor"/>
      </rPr>
      <t xml:space="preserve">half of the duties </t>
    </r>
    <r>
      <rPr>
        <sz val="10"/>
        <color rgb="FF000000"/>
        <rFont val="Calibri"/>
        <family val="2"/>
        <scheme val="minor"/>
      </rPr>
      <t>mandated in the Chips + Science Act</t>
    </r>
    <r>
      <rPr>
        <sz val="10"/>
        <color theme="1"/>
        <rFont val="Calibri"/>
        <family val="2"/>
        <scheme val="minor"/>
      </rPr>
      <t xml:space="preserve"> ($7.0  M)</t>
    </r>
  </si>
  <si>
    <r>
      <t>Scenario 3 (R&amp;RA): $10 M</t>
    </r>
    <r>
      <rPr>
        <b/>
        <u/>
        <sz val="10"/>
        <color rgb="FF7030A0"/>
        <rFont val="Calibri"/>
        <family val="2"/>
        <scheme val="minor"/>
      </rPr>
      <t xml:space="preserve">  -- Scenario chosen by Karen</t>
    </r>
  </si>
  <si>
    <t>1. Division B R&amp;RA  - $6,381,136,000 (assuming we use all of the Polar NTE amount below)</t>
  </si>
  <si>
    <t>2. Division B R&amp;RA Polar – NTE $640,000,000</t>
  </si>
  <si>
    <t>3. Division N R&amp;RA Disaster recovery - $2,500,000</t>
  </si>
  <si>
    <t xml:space="preserve">4. Division N R&amp;RA “normal” NSF - $608,162,000 </t>
  </si>
  <si>
    <t>5. Division N R&amp;RA CHIPS+ funding - $210,000,000</t>
  </si>
  <si>
    <t xml:space="preserve">Pot #1 can be used for anything R&amp;RA, including CHIPS+; pot 2 is just Polar; pot 3 is just disaster recovery for “damage to research facilities and scientific equipment in calendar year 2022”; pot 4 is only non-CHIPS+ R&amp;RA; and pot 5 is only CHIPS+ R&amp;RA. </t>
  </si>
  <si>
    <t>...the $210M set-aside represents a floor on overall FY 23 CHIPS+ authorized funding, with the remainder of the Division N R&amp;RA funds ($608.162M) having to go to non-CHIPS+, core NSF activities (e.g., another floor on non-CHIPS+ activities). That leaves the door open to use Division B regular R&amp;RA funding for CHIPS+ authorized activities. We essentially have five pots of R&amp;RA funding this year:</t>
  </si>
  <si>
    <t>From Will Grant, 12.22.22</t>
  </si>
  <si>
    <t>Robert Noyce Teacher Scholarship Program (Noyce), including 10A</t>
  </si>
  <si>
    <t>"15.5% of NSF's research funding" and 16% of "scholarship" funding.</t>
  </si>
  <si>
    <t>FY23 Outstanding Allocation Decisions</t>
  </si>
  <si>
    <t>TIP?</t>
  </si>
  <si>
    <t>anything outstanding for Panch?</t>
  </si>
  <si>
    <t>O&amp;M</t>
  </si>
  <si>
    <t>FOT</t>
  </si>
  <si>
    <t>Mid-scale Track 1</t>
  </si>
  <si>
    <t>MRI</t>
  </si>
  <si>
    <t>IA outstanding</t>
  </si>
  <si>
    <t>EAC</t>
  </si>
  <si>
    <t>GCR</t>
  </si>
  <si>
    <t>PPS</t>
  </si>
  <si>
    <t>RIC</t>
  </si>
  <si>
    <t>STPI</t>
  </si>
  <si>
    <t>AI</t>
  </si>
  <si>
    <t>Other EIs</t>
  </si>
  <si>
    <t>12.30.2022</t>
  </si>
  <si>
    <t>Linnea talking w/ Steve</t>
  </si>
  <si>
    <t>Director's Fund</t>
  </si>
  <si>
    <r>
      <t>How much?  What topics?  How sell to OMB and the Hill?  The working assumption is that it will be held in IA budget as a  new line; no time to set up distinct Org or sub-org for FY23.  ---</t>
    </r>
    <r>
      <rPr>
        <b/>
        <sz val="11"/>
        <color rgb="FFFF0000"/>
        <rFont val="Calibri"/>
        <family val="2"/>
        <scheme val="minor"/>
      </rPr>
      <t xml:space="preserve"> TAXES ISSUES</t>
    </r>
  </si>
  <si>
    <t xml:space="preserve">No less than FY22 Plan?  FY23 Request?  </t>
  </si>
  <si>
    <t>Equity okay beyond EDU?</t>
  </si>
  <si>
    <t>CHEX</t>
  </si>
  <si>
    <t>AOAM FTE</t>
  </si>
  <si>
    <t>FY 2022 and FY 2023 COMPARISON</t>
  </si>
  <si>
    <t>FY 2021
Actual</t>
  </si>
  <si>
    <t>FY 2022 Plan</t>
  </si>
  <si>
    <t>FY 2022
Actuals</t>
  </si>
  <si>
    <t>FY 2023 Change over
FY 2022 Plan</t>
  </si>
  <si>
    <r>
      <t>TIP</t>
    </r>
    <r>
      <rPr>
        <vertAlign val="superscript"/>
        <sz val="10"/>
        <rFont val="Open Sans"/>
        <family val="2"/>
      </rPr>
      <t>1</t>
    </r>
  </si>
  <si>
    <r>
      <rPr>
        <vertAlign val="superscript"/>
        <sz val="9"/>
        <rFont val="Open Sans"/>
        <family val="2"/>
      </rPr>
      <t>1</t>
    </r>
    <r>
      <rPr>
        <sz val="9"/>
        <rFont val="Open Sans"/>
        <family val="2"/>
      </rPr>
      <t xml:space="preserve"> FY 2021 funding for TIP is shown for comparability across fiscal years.</t>
    </r>
  </si>
  <si>
    <t>Congressional Direction</t>
  </si>
  <si>
    <t>Up to $686</t>
  </si>
  <si>
    <t>NSTC Crosscut 
Quantum Information Science</t>
  </si>
  <si>
    <t>NSTC Crosscut 
National Nanotechnology Initiative (NNI)</t>
  </si>
  <si>
    <t>NSTC Crosscut 
Networking &amp; Information Technology R&amp;D (NITRD)</t>
  </si>
  <si>
    <r>
      <rPr>
        <vertAlign val="superscript"/>
        <sz val="9"/>
        <rFont val="Open Sans"/>
        <family val="2"/>
      </rPr>
      <t>1</t>
    </r>
    <r>
      <rPr>
        <sz val="9"/>
        <rFont val="Open Sans"/>
        <family val="2"/>
      </rPr>
      <t xml:space="preserve">  FY 2021 funding for TIP is shown for comparability across fiscal years.</t>
    </r>
  </si>
  <si>
    <t>Not less than $970 for both</t>
  </si>
  <si>
    <t>No less than FY22 Plan?</t>
  </si>
  <si>
    <t>NNI and NITRD x-cuts</t>
  </si>
  <si>
    <t>Other NSTCs</t>
  </si>
  <si>
    <t>equals $235</t>
  </si>
  <si>
    <t>w/Linnea</t>
  </si>
  <si>
    <t>w/ Chantel and OPP:  USALS</t>
  </si>
  <si>
    <t>What is "maximum operating capacity"?  No plus ups needed.</t>
  </si>
  <si>
    <t>No less than FY22 CP?</t>
  </si>
  <si>
    <t>Meet "up to" level, which is only +$7M above FY22 Plan?</t>
  </si>
  <si>
    <t>Climate</t>
  </si>
  <si>
    <t>Other Climate?</t>
  </si>
  <si>
    <t>What's the agreed upon metholodogy for identifying the 15.5% and the 16%?  Strongly suggest a easily replicable process.  BD can propose to OLPA.</t>
  </si>
  <si>
    <t>What's the methodology ?  BD can propose something.</t>
  </si>
  <si>
    <t>EDU?</t>
  </si>
  <si>
    <t>Outstanding O/D Policy Direction for budget call</t>
  </si>
  <si>
    <t>OMB assumes at least $150M in our base</t>
  </si>
  <si>
    <t>No plus up needed.</t>
  </si>
  <si>
    <t>No less than FY22 Plan, which is +$151 &gt; "no less than" language? Or more?</t>
  </si>
  <si>
    <t>Focused Programs</t>
  </si>
  <si>
    <t>AGEP Graduate Research Supplements (AGEP-GRS)</t>
  </si>
  <si>
    <t>Broadening Participation in Biology Fellowships</t>
  </si>
  <si>
    <t>HBCU Excellence in Research (HBCU-EiR)</t>
  </si>
  <si>
    <t>MPS Ascending Postdoctoral Research Fellowships (MPS-Acend)</t>
  </si>
  <si>
    <t>Science of Broadening Participation</t>
  </si>
  <si>
    <t xml:space="preserve">Subtotal, Focused Programs </t>
  </si>
  <si>
    <t>Emphasis Programs</t>
  </si>
  <si>
    <t>EDU Core Research</t>
  </si>
  <si>
    <t>Subtotal, Emphasis Programs</t>
  </si>
  <si>
    <t>GBO</t>
  </si>
  <si>
    <t>Mid-scale RI 1</t>
  </si>
  <si>
    <t>[6.77]</t>
  </si>
  <si>
    <t>&lt;-previous estimate</t>
  </si>
  <si>
    <t>Line Items</t>
  </si>
  <si>
    <t>[10]</t>
  </si>
  <si>
    <t>[1.71]</t>
  </si>
  <si>
    <t>[1.1]</t>
  </si>
  <si>
    <t>&lt;-covered by CORF O&amp;M increment</t>
  </si>
  <si>
    <t>&lt;-no funds required</t>
  </si>
  <si>
    <t>&lt;-updated congressional direction decreases as a result of notes above</t>
  </si>
  <si>
    <t>&lt;-captured within IA budget lines section</t>
  </si>
  <si>
    <t>[3]</t>
  </si>
  <si>
    <t>Total allocated</t>
  </si>
  <si>
    <t>Unallocated</t>
  </si>
  <si>
    <t>Draft decisions 1/5/23</t>
  </si>
  <si>
    <t>report guidance + $5M for CISA</t>
  </si>
  <si>
    <t>Director affirmation of other Congressional direction</t>
  </si>
  <si>
    <t>Director allocation of Div. N CHIPS resources</t>
  </si>
  <si>
    <t>Director alloction of EDU resources for other priorities</t>
  </si>
  <si>
    <t>Director Allocation of Facilities O&amp;M Resources</t>
  </si>
  <si>
    <t>Director allocation of Div. N Damaged Facs. Resources</t>
  </si>
  <si>
    <t>Director allocation of necessary O&amp;M increases</t>
  </si>
  <si>
    <t>Director Allocation of USALS Increase</t>
  </si>
  <si>
    <t>Director Allocation of NCSES Resources</t>
  </si>
  <si>
    <t>Directed NSDS and SAP Implementation</t>
  </si>
  <si>
    <t>Directed completion of study on national cyber workforce</t>
  </si>
  <si>
    <t>Director Allocation of Astro2020 Funding</t>
  </si>
  <si>
    <t>Director determined GRFP increase</t>
  </si>
  <si>
    <t>Director allocation of minmum RIE funding level</t>
  </si>
  <si>
    <t>Director allocation of other TIP program funding</t>
  </si>
  <si>
    <t>Director Allocation for TIP Directorate</t>
  </si>
  <si>
    <t>Director Allocation for STEM Education (EDU)</t>
  </si>
  <si>
    <t>Director Allocation of IA Resources</t>
  </si>
  <si>
    <t>Director affirmed EPSCoR Program Office Increase</t>
  </si>
  <si>
    <t>Director affirmed GRANTED Program Increase</t>
  </si>
  <si>
    <t>Director determined Other IA Funding Increases</t>
  </si>
  <si>
    <t>Director-tied IA Increases (EPSCoR, GRANTED, MRI/Mid-scale)</t>
  </si>
  <si>
    <t>Director Allocation of Add'l Strategic Priorities</t>
  </si>
  <si>
    <t>Global Centers for Climate</t>
  </si>
  <si>
    <t>NDC for Climate</t>
  </si>
  <si>
    <t>Biofoundaries</t>
  </si>
  <si>
    <t>USGCRP Research</t>
  </si>
  <si>
    <t>Clean Energy Technology Research</t>
  </si>
  <si>
    <t>Democracy Affirming Technology</t>
  </si>
  <si>
    <t>Cyber Workforce</t>
  </si>
  <si>
    <t>Director Determined AOAM Increase</t>
  </si>
  <si>
    <t>Director Affirmed Technical Adjustments</t>
  </si>
  <si>
    <t>OIG Account Increase</t>
  </si>
  <si>
    <t>NSB Account Increase</t>
  </si>
  <si>
    <t>USARC Increase</t>
  </si>
  <si>
    <t>Shift of Funding from OPP to IA for SAPHR Activity</t>
  </si>
  <si>
    <t>Pending Director Allocation</t>
  </si>
  <si>
    <r>
      <rPr>
        <vertAlign val="superscript"/>
        <sz val="10"/>
        <color theme="1"/>
        <rFont val="Open Sans"/>
        <family val="2"/>
      </rPr>
      <t xml:space="preserve">1 </t>
    </r>
    <r>
      <rPr>
        <sz val="10"/>
        <color theme="1"/>
        <rFont val="Open Sans"/>
        <family val="2"/>
      </rPr>
      <t>Increases displayed are above the FY 2022 Current Plan.</t>
    </r>
  </si>
  <si>
    <r>
      <rPr>
        <vertAlign val="superscript"/>
        <sz val="10"/>
        <color theme="1"/>
        <rFont val="Open Sans"/>
        <family val="2"/>
      </rPr>
      <t>3</t>
    </r>
    <r>
      <rPr>
        <sz val="10"/>
        <color theme="1"/>
        <rFont val="Open Sans"/>
        <family val="2"/>
      </rPr>
      <t xml:space="preserve"> Total exceeds NSF bottom-line increase as a result of MREFC savings available to be repurposed elsewhere.</t>
    </r>
  </si>
  <si>
    <r>
      <t>FY 2023 Director's Strategic Increases</t>
    </r>
    <r>
      <rPr>
        <b/>
        <vertAlign val="superscript"/>
        <sz val="10"/>
        <color theme="1"/>
        <rFont val="Open Sans"/>
        <family val="2"/>
      </rPr>
      <t>1,2</t>
    </r>
  </si>
  <si>
    <r>
      <t>Total, Director's Strategic Increases</t>
    </r>
    <r>
      <rPr>
        <b/>
        <vertAlign val="superscript"/>
        <sz val="10"/>
        <color theme="1"/>
        <rFont val="Open Sans"/>
        <family val="2"/>
      </rPr>
      <t>3</t>
    </r>
  </si>
  <si>
    <r>
      <rPr>
        <vertAlign val="superscript"/>
        <sz val="10"/>
        <color theme="1"/>
        <rFont val="Open Sans"/>
        <family val="2"/>
      </rPr>
      <t xml:space="preserve">2 </t>
    </r>
    <r>
      <rPr>
        <sz val="10"/>
        <color theme="1"/>
        <rFont val="Open Sans"/>
        <family val="2"/>
      </rPr>
      <t>Includes all resources appropriated under P.L. 117-328 (Divison B and Division N funding).</t>
    </r>
  </si>
  <si>
    <t>National Science Foundation</t>
  </si>
  <si>
    <t>$100 million Fellowships Program Increase</t>
  </si>
  <si>
    <t>DIR</t>
  </si>
  <si>
    <t>Equity v. Discovery Increment Sorting</t>
  </si>
  <si>
    <t>Program Name</t>
  </si>
  <si>
    <t>Requested Funding</t>
  </si>
  <si>
    <r>
      <rPr>
        <b/>
        <u/>
        <sz val="10"/>
        <color theme="1"/>
        <rFont val="Open Sans"/>
        <family val="2"/>
      </rPr>
      <t>FY 2023 Request</t>
    </r>
    <r>
      <rPr>
        <b/>
        <sz val="10"/>
        <color theme="1"/>
        <rFont val="Open Sans"/>
        <family val="2"/>
      </rPr>
      <t xml:space="preserve"> Allocation Received</t>
    </r>
  </si>
  <si>
    <t>Equity for Underserved Communities</t>
  </si>
  <si>
    <t>Discovery Engine</t>
  </si>
  <si>
    <t>Total Fellowship Increase</t>
  </si>
  <si>
    <t>Equity
Allocation
Option
(1/5/2023)</t>
  </si>
  <si>
    <t>Postdoctoral Research Fellowships</t>
  </si>
  <si>
    <t xml:space="preserve">Discovery </t>
  </si>
  <si>
    <t>Rsrch and Mentoring for Postbaccalaureates in BIO Sciences (RaMP)</t>
  </si>
  <si>
    <t>CISE Graduate Fellowship (CSGrad4US)</t>
  </si>
  <si>
    <t xml:space="preserve">Equity/
Discovery </t>
  </si>
  <si>
    <t>Enginnering Postdoctoral Fellowships Program</t>
  </si>
  <si>
    <t xml:space="preserve">GEO </t>
  </si>
  <si>
    <t>AGS Postdoctoral Rsrch Fellowships (AGS-PRF)</t>
  </si>
  <si>
    <t>NSF Earth Sciences Postdoctoral Fellowships (EAR-PF)</t>
  </si>
  <si>
    <t xml:space="preserve">Ocean Sciences Postdoctoral Research Fellowships (OCE-PRF) Program </t>
  </si>
  <si>
    <t>OPP-PRF / Office of Polar Programs Post-Doctoral Fellowships</t>
  </si>
  <si>
    <t>MPS Ascending Postdoctoral Research Fellowships</t>
  </si>
  <si>
    <t>Astronomy and Astrophysics Postdoctoral Fellowships</t>
  </si>
  <si>
    <t>Mathematical Sciences Postdoctoral Research Fellowships</t>
  </si>
  <si>
    <t>MPS-Ascend External Mentoring</t>
  </si>
  <si>
    <t>SBE Posdoctoral Research Fellowship</t>
  </si>
  <si>
    <t xml:space="preserve">TIP </t>
  </si>
  <si>
    <t>HBCU-EiR Postdoc fellows and Graduate/Undergraduate Students</t>
  </si>
  <si>
    <t xml:space="preserve">STEM Education Postdoctoral Research Fellowships (STEM Ed PRF)  </t>
  </si>
  <si>
    <t xml:space="preserve">Total </t>
  </si>
  <si>
    <t>*TIP, IA, and EDU options are accounted for elsewhere in allocations scenario.</t>
  </si>
  <si>
    <t>Remaining Unallocated 1/19 AM</t>
  </si>
  <si>
    <t>Directed BIO NEON O&amp;M</t>
  </si>
  <si>
    <r>
      <t>Additional SBE/NCSES</t>
    </r>
    <r>
      <rPr>
        <vertAlign val="superscript"/>
        <sz val="10"/>
        <color theme="1"/>
        <rFont val="Open Sans"/>
        <family val="2"/>
      </rPr>
      <t>1</t>
    </r>
  </si>
  <si>
    <r>
      <rPr>
        <vertAlign val="superscript"/>
        <sz val="9"/>
        <color theme="1"/>
        <rFont val="Open Sans"/>
        <family val="2"/>
      </rPr>
      <t xml:space="preserve">1 </t>
    </r>
    <r>
      <rPr>
        <sz val="9"/>
        <color theme="1"/>
        <rFont val="Open Sans"/>
        <family val="2"/>
      </rPr>
      <t>Additional amount 1) fully funds NCSES at FY 2023 Request level and 2) provides full $4.0 million estimated to conduct survey on national cyber workforce.</t>
    </r>
  </si>
  <si>
    <t>Equity Fellows Option</t>
  </si>
  <si>
    <t>Unallocated after add'l decisions</t>
  </si>
  <si>
    <t>Summary of 1/19 Decisions</t>
  </si>
  <si>
    <t>Equity Fellowships</t>
  </si>
  <si>
    <t>Flat
Equity
Alloction
Option
(1/19/2023)</t>
  </si>
  <si>
    <t>FY 2023 Current Plan Option</t>
  </si>
  <si>
    <t>Summary of 1/20 Decisions</t>
  </si>
  <si>
    <t>CHEXS</t>
  </si>
  <si>
    <t>QIS Research</t>
  </si>
  <si>
    <t>GEO Tech Adjs.</t>
  </si>
  <si>
    <t>FY 2023
Plan</t>
  </si>
  <si>
    <t>FY 2023
Plan Base</t>
  </si>
  <si>
    <t>Eddie Bernice Johnson INCLUDES Initiative (NSF INCLUDES)</t>
  </si>
  <si>
    <t>NSF PROGRAMS TO BROADEN PARTICIPATION</t>
  </si>
  <si>
    <t>FY 2023
 CP Base (Division B)</t>
  </si>
  <si>
    <t>FY 2023 
CP Base 
(Division N)</t>
  </si>
  <si>
    <t xml:space="preserve"> FY 2023 
Base Total
(Divs B+N Base)</t>
  </si>
  <si>
    <t xml:space="preserve"> FY 2023 
CP Total  </t>
  </si>
  <si>
    <t>Growing Research Access for Nationally Transformative Equity and Diversity (GRANTED)</t>
  </si>
  <si>
    <t>Historically Black Colleges &amp; Universities Undergrad Prog (HBCU-UP)</t>
  </si>
  <si>
    <t>(IUSE): Hispanic Serving Institutions (HSI) Program</t>
  </si>
  <si>
    <t>[119.15]</t>
  </si>
  <si>
    <t>[144.41]</t>
  </si>
  <si>
    <t>SBE Postdoctoral Research Fellowships-Broadening Participation</t>
  </si>
  <si>
    <t>Geographic Diversity Programs</t>
  </si>
  <si>
    <t xml:space="preserve">Subtotal, Geographic Diversity Programs </t>
  </si>
  <si>
    <t>[29.39]</t>
  </si>
  <si>
    <t>[34.80]</t>
  </si>
  <si>
    <t>Resch Experiences for Teachers (RET) Sites in CISE and ENG</t>
  </si>
  <si>
    <t>Resch Experiences for Undergrads (REU) - Sites and Supplements</t>
  </si>
  <si>
    <r>
      <t>Total, Broadening Participation Programs</t>
    </r>
    <r>
      <rPr>
        <b/>
        <vertAlign val="superscript"/>
        <sz val="10"/>
        <color theme="1"/>
        <rFont val="Open Sans"/>
        <family val="2"/>
      </rPr>
      <t>1</t>
    </r>
  </si>
  <si>
    <t>FY 2023
 CHIPS +Science 
(Division N)</t>
  </si>
  <si>
    <t>FY 2022 
Current Plan</t>
  </si>
  <si>
    <t>CISE Graduate Fellowships (CSGrad4US)</t>
  </si>
  <si>
    <t>MPS Ascending Postdoctoral Research Fellowships (MPS-Ascend)</t>
  </si>
  <si>
    <r>
      <t>NSF Scholarships in STEM (S-STEM) (H-1B)</t>
    </r>
    <r>
      <rPr>
        <vertAlign val="superscript"/>
        <sz val="10"/>
        <rFont val="Open Sans"/>
        <family val="2"/>
      </rPr>
      <t>1</t>
    </r>
  </si>
  <si>
    <t>[121.85]</t>
  </si>
  <si>
    <t>Research and Mentoring for Postbaccaluareates in Biological Sciences (RaMP)</t>
  </si>
  <si>
    <t>Faculty Early Career Development Program (CAREER)</t>
  </si>
  <si>
    <t>[29.37]</t>
  </si>
  <si>
    <t>Resch Experiences for Teachers (RET) Sites in BIO, CISE and ENG</t>
  </si>
  <si>
    <r>
      <t>Innovative Tech Experiences for Students &amp; Teachers (ITEST) (H-1B)</t>
    </r>
    <r>
      <rPr>
        <vertAlign val="superscript"/>
        <sz val="10"/>
        <rFont val="Open Sans"/>
        <family val="2"/>
      </rPr>
      <t>1</t>
    </r>
  </si>
  <si>
    <r>
      <rPr>
        <vertAlign val="superscript"/>
        <sz val="9"/>
        <color theme="1"/>
        <rFont val="Open Sans"/>
        <family val="2"/>
      </rPr>
      <t>1</t>
    </r>
    <r>
      <rPr>
        <sz val="9"/>
        <color theme="1"/>
        <rFont val="Open Sans"/>
        <family val="2"/>
      </rPr>
      <t>NSF Scholarships in Science, Technology, Engineering, and Mathematics (S-STEM) and Innovative Technology Experiences for Students and Teachers (ITEST) are H-1B Visa funded programs. Funding levels are excluded from discretionary funding totals displayed above.</t>
    </r>
  </si>
  <si>
    <t>Indicates programs with Congressionally directed funding levels</t>
  </si>
  <si>
    <t>Indicates programs in the Racial Equity portfolio</t>
  </si>
  <si>
    <t>GEO: OPP</t>
  </si>
  <si>
    <t>FY 2023 
DRS Base</t>
  </si>
  <si>
    <t>FY 2023
DRS CHIPS+ 
Science</t>
  </si>
  <si>
    <t>Growing Res. Access for Nat'ly Trans. Equity &amp; Diversity (GRANTED)</t>
  </si>
  <si>
    <t>SBE Postdoctoral Research Fellowships-Broadening Participation (SPRF-BP)</t>
  </si>
  <si>
    <t>MPS Partnerships for Research and Education</t>
  </si>
  <si>
    <t>in FY23 Request structure</t>
  </si>
  <si>
    <t>FY 2024 OMBJ structure</t>
  </si>
  <si>
    <t xml:space="preserve">Coastlines and People (COPE) </t>
  </si>
  <si>
    <r>
      <rPr>
        <vertAlign val="superscript"/>
        <sz val="9"/>
        <color theme="1"/>
        <rFont val="Open Sans"/>
        <family val="2"/>
      </rPr>
      <t>2</t>
    </r>
    <r>
      <rPr>
        <sz val="9"/>
        <color theme="1"/>
        <rFont val="Open Sans"/>
        <family val="2"/>
      </rPr>
      <t>NSF Scholarships in Science, Technology, Engineering, and Mathematics (S-STEM) and Innovative Technology Experiences for Students and Teachers (ITEST) are H-1B Visa funded programs. Funding levels are excluded from discretionary funding totals displayed above.</t>
    </r>
  </si>
  <si>
    <r>
      <t>Innovative Tech Experiences for Students &amp; Teachers (ITEST) (H-1B)</t>
    </r>
    <r>
      <rPr>
        <vertAlign val="superscript"/>
        <sz val="10"/>
        <rFont val="Open Sans"/>
        <family val="2"/>
      </rPr>
      <t>2</t>
    </r>
  </si>
  <si>
    <r>
      <t>NSF Scholarships in STEM (S-STEM) (H-1B)</t>
    </r>
    <r>
      <rPr>
        <vertAlign val="superscript"/>
        <sz val="10"/>
        <rFont val="Open Sans"/>
        <family val="2"/>
      </rPr>
      <t>2</t>
    </r>
  </si>
  <si>
    <r>
      <t>FY 2022
 Plan</t>
    </r>
    <r>
      <rPr>
        <vertAlign val="superscript"/>
        <sz val="10"/>
        <color theme="1"/>
        <rFont val="Open Sans"/>
        <family val="2"/>
      </rPr>
      <t>1</t>
    </r>
  </si>
  <si>
    <r>
      <t>2</t>
    </r>
    <r>
      <rPr>
        <sz val="9"/>
        <color theme="1"/>
        <rFont val="Open Sans"/>
        <family val="2"/>
      </rPr>
      <t xml:space="preserve"> For comparability, FY 2022 Plan has been restated in the FY 2023 BP structure.</t>
    </r>
  </si>
  <si>
    <t>[30.06]</t>
  </si>
  <si>
    <t>[35.62]</t>
  </si>
  <si>
    <t>FY23 Plan v. FY22 Plan</t>
  </si>
  <si>
    <t>FY23 Plan v. FY23 Request</t>
  </si>
  <si>
    <t>really zero in FY23?</t>
  </si>
  <si>
    <t>FY 2024 Request</t>
  </si>
  <si>
    <t>Disaster Relief Supplemental</t>
  </si>
  <si>
    <t>GEO Programs</t>
  </si>
  <si>
    <t>Base</t>
  </si>
  <si>
    <t>FY 2023 Estimate Total</t>
  </si>
  <si>
    <t>FY 2023 Estimate Base</t>
  </si>
  <si>
    <r>
      <t>FY 2022 Actual</t>
    </r>
    <r>
      <rPr>
        <vertAlign val="superscript"/>
        <sz val="9"/>
        <color theme="1"/>
        <rFont val="Open Sans"/>
        <family val="2"/>
      </rPr>
      <t>1</t>
    </r>
  </si>
  <si>
    <r>
      <rPr>
        <vertAlign val="superscript"/>
        <sz val="9"/>
        <color theme="1"/>
        <rFont val="Open Sans"/>
        <family val="2"/>
      </rPr>
      <t>1</t>
    </r>
    <r>
      <rPr>
        <sz val="9"/>
        <color theme="1"/>
        <rFont val="Open Sans"/>
        <family val="2"/>
      </rPr>
      <t xml:space="preserve"> FY 2022 Actual are greater than future fiscal years due to the receipt of more meritorious proposals than expected.</t>
    </r>
  </si>
  <si>
    <t>CHIPS+ Science</t>
  </si>
  <si>
    <t>FY 2024 Request 
change over
FY 2023 Base Total</t>
  </si>
  <si>
    <r>
      <t>FY 2022 Actual</t>
    </r>
    <r>
      <rPr>
        <b/>
        <vertAlign val="superscript"/>
        <sz val="9"/>
        <color theme="1"/>
        <rFont val="Open Sans"/>
        <family val="2"/>
      </rPr>
      <t>1</t>
    </r>
  </si>
  <si>
    <r>
      <t xml:space="preserve">FY 2024 Request
</t>
    </r>
    <r>
      <rPr>
        <b/>
        <sz val="9"/>
        <color rgb="FFFF0000"/>
        <rFont val="Open Sans"/>
        <family val="2"/>
      </rPr>
      <t>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</si>
</sst>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44" formatCode="_(&quot;$&quot;* #,##0.00_);_(&quot;$&quot;* \(#,##0.00\);_(&quot;$&quot;* &quot;-&quot;??_);_(@_)"/>
    <numFmt numFmtId="43" formatCode="_(* #,##0.00_);_(* \(#,##0.00\);_(* &quot;-&quot;??_);_(@_)"/>
    <numFmt numFmtId="164" formatCode="[$-10409]#,##0.000000;\-#,##0.000000"/>
    <numFmt numFmtId="165" formatCode="&quot;$&quot;#,##0.00;\-&quot;$&quot;#,##0.00;&quot;-&quot;??"/>
    <numFmt numFmtId="166" formatCode="#,##0.00;\-#,##0.00;&quot;-&quot;??"/>
    <numFmt numFmtId="167" formatCode="0.0%;\-0.0%;&quot;-&quot;??"/>
    <numFmt numFmtId="168" formatCode="#,##0;\-#,##0;&quot;-&quot;??"/>
    <numFmt numFmtId="169" formatCode="0.0%"/>
    <numFmt numFmtId="170" formatCode="_(* #,##0_);_(* \(#,##0\);_(* &quot;-&quot;??_);_(@_)"/>
    <numFmt numFmtId="171" formatCode="&quot;$&quot;#,##0;\-&quot;$&quot;#,##0;&quot;-&quot;??"/>
    <numFmt numFmtId="172" formatCode="&quot;$&quot;#,##0.000;\-&quot;$&quot;#,##0.000;&quot;-&quot;??"/>
    <numFmt numFmtId="173" formatCode="&quot;$&quot;#,##0.00"/>
    <numFmt numFmtId="174" formatCode="&quot;$&quot;#,##0"/>
    <numFmt numFmtId="175" formatCode="_(&quot;$&quot;* #,##0_);_(&quot;$&quot;* \(#,##0\);_(&quot;$&quot;* &quot;-&quot;??_);_(@_)"/>
    <numFmt numFmtId="176" formatCode="#,##0.000;\-#,##0.000;&quot;-&quot;??"/>
    <numFmt numFmtId="177" formatCode="&quot;$&quot;#,##0.000_);\(&quot;$&quot;#,##0.000\)"/>
    <numFmt numFmtId="178" formatCode="#,##0.00;\-&quot;$&quot;#,##0.00;&quot;-&quot;??"/>
  </numFmts>
  <fonts count="88" x14ac:knownFonts="1">
    <font>
      <sz val="11"/>
      <color theme="1"/>
      <name val="Calibri"/>
      <family val="2"/>
      <scheme val="minor"/>
    </font>
    <font>
      <sz val="11"/>
      <color theme="1"/>
      <name val="Calibri"/>
      <family val="2"/>
      <scheme val="minor"/>
    </font>
    <font>
      <sz val="9"/>
      <color theme="1"/>
      <name val="Open Sans"/>
      <family val="2"/>
    </font>
    <font>
      <sz val="8"/>
      <color theme="1"/>
      <name val="Open Sans"/>
      <family val="2"/>
    </font>
    <font>
      <b/>
      <sz val="9"/>
      <color theme="1"/>
      <name val="Open Sans"/>
      <family val="2"/>
    </font>
    <font>
      <i/>
      <sz val="9"/>
      <color theme="1"/>
      <name val="Open Sans"/>
      <family val="2"/>
    </font>
    <font>
      <b/>
      <sz val="10.5"/>
      <color theme="1"/>
      <name val="Open Sans"/>
      <family val="2"/>
    </font>
    <font>
      <sz val="11"/>
      <name val="Calibri"/>
      <family val="2"/>
    </font>
    <font>
      <b/>
      <sz val="14"/>
      <color rgb="FF000000"/>
      <name val="Times New Roman"/>
      <family val="1"/>
    </font>
    <font>
      <b/>
      <sz val="10"/>
      <color rgb="FF000000"/>
      <name val="Times New Roman"/>
      <family val="1"/>
    </font>
    <font>
      <sz val="12"/>
      <color rgb="FF000000"/>
      <name val="Times New Roman"/>
      <family val="1"/>
    </font>
    <font>
      <sz val="10"/>
      <color rgb="FF000000"/>
      <name val="Times New Roman"/>
      <family val="1"/>
    </font>
    <font>
      <sz val="8"/>
      <color rgb="FFFF0000"/>
      <name val="Open Sans"/>
      <family val="2"/>
    </font>
    <font>
      <i/>
      <sz val="8"/>
      <color theme="1"/>
      <name val="Open Sans"/>
      <family val="2"/>
    </font>
    <font>
      <b/>
      <sz val="10"/>
      <color theme="1"/>
      <name val="Open Sans"/>
      <family val="2"/>
    </font>
    <font>
      <sz val="10"/>
      <color theme="1"/>
      <name val="Open Sans"/>
      <family val="2"/>
    </font>
    <font>
      <sz val="9"/>
      <name val="Open Sans"/>
      <family val="2"/>
    </font>
    <font>
      <b/>
      <sz val="9"/>
      <name val="Open Sans"/>
      <family val="2"/>
    </font>
    <font>
      <b/>
      <sz val="16"/>
      <color theme="1"/>
      <name val="Open Sans"/>
      <family val="2"/>
    </font>
    <font>
      <sz val="9"/>
      <color rgb="FFFF0000"/>
      <name val="Open Sans"/>
      <family val="2"/>
    </font>
    <font>
      <vertAlign val="superscript"/>
      <sz val="9"/>
      <color theme="1"/>
      <name val="Open Sans"/>
      <family val="2"/>
    </font>
    <font>
      <vertAlign val="superscript"/>
      <sz val="8"/>
      <color theme="1"/>
      <name val="Open Sans"/>
      <family val="2"/>
    </font>
    <font>
      <b/>
      <u/>
      <sz val="10"/>
      <color theme="1"/>
      <name val="Open Sans"/>
      <family val="2"/>
    </font>
    <font>
      <b/>
      <vertAlign val="superscript"/>
      <sz val="10"/>
      <color theme="1"/>
      <name val="Open Sans"/>
      <family val="2"/>
    </font>
    <font>
      <sz val="10"/>
      <color rgb="FFFF0000"/>
      <name val="Open Sans"/>
      <family val="2"/>
    </font>
    <font>
      <vertAlign val="superscript"/>
      <sz val="10"/>
      <color theme="1"/>
      <name val="Open Sans"/>
      <family val="2"/>
    </font>
    <font>
      <sz val="11"/>
      <color rgb="FF000000"/>
      <name val="Calibri"/>
      <family val="2"/>
      <scheme val="minor"/>
    </font>
    <font>
      <sz val="10"/>
      <name val="Open Sans"/>
      <family val="2"/>
    </font>
    <font>
      <sz val="10"/>
      <color rgb="FF000000"/>
      <name val="Open Sans"/>
      <family val="2"/>
    </font>
    <font>
      <b/>
      <sz val="10"/>
      <name val="Open Sans"/>
      <family val="2"/>
    </font>
    <font>
      <b/>
      <i/>
      <sz val="10"/>
      <color rgb="FF000000"/>
      <name val="Open Sans"/>
      <family val="2"/>
    </font>
    <font>
      <b/>
      <sz val="9"/>
      <color rgb="FFC00000"/>
      <name val="Open Sans"/>
      <family val="2"/>
    </font>
    <font>
      <b/>
      <sz val="9"/>
      <color rgb="FFFF0000"/>
      <name val="Open Sans"/>
      <family val="2"/>
    </font>
    <font>
      <sz val="9"/>
      <color theme="0" tint="-0.499984740745262"/>
      <name val="Open Sans"/>
      <family val="2"/>
    </font>
    <font>
      <sz val="9"/>
      <color rgb="FFC00000"/>
      <name val="Open Sans"/>
      <family val="2"/>
    </font>
    <font>
      <sz val="8"/>
      <color rgb="FFC00000"/>
      <name val="Open Sans"/>
      <family val="2"/>
    </font>
    <font>
      <i/>
      <sz val="10"/>
      <color rgb="FFC00000"/>
      <name val="Open Sans"/>
      <family val="2"/>
    </font>
    <font>
      <b/>
      <sz val="11"/>
      <color theme="1"/>
      <name val="Open Sans"/>
      <family val="2"/>
    </font>
    <font>
      <sz val="11"/>
      <name val="Calibri"/>
      <family val="2"/>
    </font>
    <font>
      <b/>
      <sz val="14"/>
      <color rgb="FF000000"/>
      <name val="Times New Roman"/>
      <family val="1"/>
    </font>
    <font>
      <b/>
      <sz val="10"/>
      <color rgb="FF000000"/>
      <name val="Times New Roman"/>
      <family val="1"/>
    </font>
    <font>
      <sz val="12"/>
      <color rgb="FF000000"/>
      <name val="Times New Roman"/>
      <family val="1"/>
    </font>
    <font>
      <sz val="10"/>
      <color rgb="FF000000"/>
      <name val="Times New Roman"/>
      <family val="1"/>
    </font>
    <font>
      <sz val="10"/>
      <color theme="0" tint="-0.499984740745262"/>
      <name val="Open Sans"/>
      <family val="2"/>
    </font>
    <font>
      <b/>
      <sz val="14"/>
      <color theme="1"/>
      <name val="Open Sans"/>
      <family val="2"/>
    </font>
    <font>
      <b/>
      <sz val="12"/>
      <color theme="1"/>
      <name val="Open Sans"/>
      <family val="2"/>
    </font>
    <font>
      <b/>
      <sz val="10"/>
      <color rgb="FF00B050"/>
      <name val="Open Sans"/>
      <family val="2"/>
    </font>
    <font>
      <b/>
      <i/>
      <sz val="10"/>
      <color theme="1"/>
      <name val="Open Sans"/>
      <family val="2"/>
    </font>
    <font>
      <i/>
      <sz val="9"/>
      <name val="Open Sans"/>
      <family val="2"/>
    </font>
    <font>
      <b/>
      <i/>
      <sz val="10"/>
      <color theme="0" tint="-0.499984740745262"/>
      <name val="Open Sans"/>
      <family val="2"/>
    </font>
    <font>
      <b/>
      <sz val="10"/>
      <color theme="0" tint="-0.499984740745262"/>
      <name val="Open Sans"/>
      <family val="2"/>
    </font>
    <font>
      <sz val="9"/>
      <color indexed="81"/>
      <name val="Tahoma"/>
      <family val="2"/>
    </font>
    <font>
      <b/>
      <sz val="9"/>
      <color indexed="81"/>
      <name val="Tahoma"/>
      <family val="2"/>
    </font>
    <font>
      <vertAlign val="superscript"/>
      <sz val="10"/>
      <name val="Open Sans"/>
      <family val="2"/>
    </font>
    <font>
      <vertAlign val="superscript"/>
      <sz val="9"/>
      <name val="Open Sans"/>
      <family val="2"/>
    </font>
    <font>
      <b/>
      <sz val="11"/>
      <color theme="1"/>
      <name val="Calibri"/>
      <family val="2"/>
      <scheme val="minor"/>
    </font>
    <font>
      <b/>
      <u/>
      <sz val="11"/>
      <color theme="1"/>
      <name val="Calibri"/>
      <family val="2"/>
      <scheme val="minor"/>
    </font>
    <font>
      <sz val="11"/>
      <name val="Calibri"/>
      <family val="2"/>
      <scheme val="minor"/>
    </font>
    <font>
      <b/>
      <sz val="11"/>
      <color rgb="FF0070C0"/>
      <name val="Calibri"/>
      <family val="2"/>
      <scheme val="minor"/>
    </font>
    <font>
      <b/>
      <sz val="11"/>
      <name val="Calibri"/>
      <family val="2"/>
      <scheme val="minor"/>
    </font>
    <font>
      <sz val="10"/>
      <color rgb="FF0070C0"/>
      <name val="Open Sans"/>
      <family val="2"/>
    </font>
    <font>
      <b/>
      <sz val="10"/>
      <color theme="1"/>
      <name val="Calibri"/>
      <family val="2"/>
      <scheme val="minor"/>
    </font>
    <font>
      <b/>
      <sz val="10"/>
      <color rgb="FFC00000"/>
      <name val="Calibri"/>
      <family val="2"/>
      <scheme val="minor"/>
    </font>
    <font>
      <sz val="10"/>
      <name val="Calibri"/>
      <family val="2"/>
      <scheme val="minor"/>
    </font>
    <font>
      <sz val="10"/>
      <color theme="1"/>
      <name val="Calibri"/>
      <family val="2"/>
      <scheme val="minor"/>
    </font>
    <font>
      <sz val="10"/>
      <color theme="0" tint="-0.249977111117893"/>
      <name val="Calibri"/>
      <family val="2"/>
      <scheme val="minor"/>
    </font>
    <font>
      <b/>
      <sz val="10"/>
      <color theme="0" tint="-0.249977111117893"/>
      <name val="Calibri"/>
      <family val="2"/>
      <scheme val="minor"/>
    </font>
    <font>
      <sz val="10"/>
      <color theme="1"/>
      <name val="Arial"/>
      <family val="2"/>
    </font>
    <font>
      <i/>
      <u/>
      <sz val="10"/>
      <color rgb="FF000000"/>
      <name val="Calibri"/>
      <family val="2"/>
      <scheme val="minor"/>
    </font>
    <font>
      <sz val="10"/>
      <color rgb="FF000000"/>
      <name val="Calibri"/>
      <family val="2"/>
      <scheme val="minor"/>
    </font>
    <font>
      <u/>
      <sz val="10"/>
      <color theme="1"/>
      <name val="Calibri"/>
      <family val="2"/>
      <scheme val="minor"/>
    </font>
    <font>
      <b/>
      <u/>
      <sz val="10"/>
      <color rgb="FF7030A0"/>
      <name val="Calibri"/>
      <family val="2"/>
      <scheme val="minor"/>
    </font>
    <font>
      <b/>
      <sz val="10"/>
      <color rgb="FFFF0000"/>
      <name val="Open Sans"/>
      <family val="2"/>
    </font>
    <font>
      <sz val="11"/>
      <color rgb="FFFF0000"/>
      <name val="Calibri"/>
      <family val="2"/>
      <scheme val="minor"/>
    </font>
    <font>
      <u/>
      <sz val="11"/>
      <color theme="1"/>
      <name val="Calibri"/>
      <family val="2"/>
      <scheme val="minor"/>
    </font>
    <font>
      <b/>
      <sz val="11"/>
      <color rgb="FFFF0000"/>
      <name val="Calibri"/>
      <family val="2"/>
      <scheme val="minor"/>
    </font>
    <font>
      <b/>
      <sz val="11"/>
      <name val="Arial"/>
      <family val="2"/>
    </font>
    <font>
      <sz val="11"/>
      <name val="Arial"/>
      <family val="2"/>
    </font>
    <font>
      <sz val="9"/>
      <color rgb="FFFF0000"/>
      <name val="Arial"/>
      <family val="2"/>
    </font>
    <font>
      <b/>
      <sz val="9"/>
      <color rgb="FFFF0000"/>
      <name val="Arial"/>
      <family val="2"/>
    </font>
    <font>
      <b/>
      <u/>
      <sz val="9"/>
      <name val="Open Sans"/>
      <family val="2"/>
    </font>
    <font>
      <i/>
      <sz val="10"/>
      <color theme="1"/>
      <name val="Open Sans"/>
      <family val="2"/>
    </font>
    <font>
      <b/>
      <i/>
      <sz val="10"/>
      <color rgb="FFFF0000"/>
      <name val="Open Sans"/>
      <family val="2"/>
    </font>
    <font>
      <sz val="10"/>
      <name val="Arial"/>
      <family val="2"/>
    </font>
    <font>
      <strike/>
      <sz val="10"/>
      <name val="Open Sans"/>
      <family val="2"/>
    </font>
    <font>
      <b/>
      <sz val="9"/>
      <color theme="1"/>
      <name val="Open Sans"/>
      <family val="2"/>
    </font>
    <font>
      <sz val="9"/>
      <color theme="1"/>
      <name val="Open Sans"/>
      <family val="2"/>
    </font>
    <font>
      <b/>
      <vertAlign val="superscript"/>
      <sz val="9"/>
      <color theme="1"/>
      <name val="Open Sans"/>
      <family val="2"/>
    </font>
  </fonts>
  <fills count="1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0" tint="-0.499984740745262"/>
        <bgColor indexed="64"/>
      </patternFill>
    </fill>
    <fill>
      <gradientFill>
        <stop position="0">
          <color rgb="FF92D050"/>
        </stop>
        <stop position="1">
          <color theme="5" tint="0.80001220740379042"/>
        </stop>
      </gradientFill>
    </fill>
    <fill>
      <patternFill patternType="solid">
        <fgColor theme="8" tint="0.39997558519241921"/>
        <bgColor indexed="64"/>
      </patternFill>
    </fill>
    <fill>
      <patternFill patternType="solid">
        <fgColor theme="2" tint="-0.249977111117893"/>
        <bgColor indexed="64"/>
      </patternFill>
    </fill>
  </fills>
  <borders count="137">
    <border>
      <left/>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top style="medium">
        <color auto="1"/>
      </top>
      <bottom style="thin">
        <color auto="1"/>
      </bottom>
      <diagonal/>
    </border>
    <border>
      <left/>
      <right/>
      <top style="medium">
        <color auto="1"/>
      </top>
      <bottom/>
      <diagonal/>
    </border>
    <border>
      <left/>
      <right/>
      <top/>
      <bottom style="thin">
        <color auto="1"/>
      </bottom>
      <diagonal/>
    </border>
    <border>
      <left style="thin">
        <color indexed="64"/>
      </left>
      <right style="thin">
        <color indexed="64"/>
      </right>
      <top/>
      <bottom/>
      <diagonal/>
    </border>
    <border>
      <left style="thin">
        <color indexed="64"/>
      </left>
      <right/>
      <top/>
      <bottom/>
      <diagonal/>
    </border>
    <border>
      <left style="thin">
        <color indexed="64"/>
      </left>
      <right/>
      <top style="medium">
        <color auto="1"/>
      </top>
      <bottom/>
      <diagonal/>
    </border>
    <border>
      <left style="thin">
        <color indexed="64"/>
      </left>
      <right/>
      <top/>
      <bottom style="thin">
        <color auto="1"/>
      </bottom>
      <diagonal/>
    </border>
    <border>
      <left/>
      <right/>
      <top style="thin">
        <color auto="1"/>
      </top>
      <bottom style="medium">
        <color indexed="64"/>
      </bottom>
      <diagonal/>
    </border>
    <border>
      <left style="thin">
        <color indexed="64"/>
      </left>
      <right/>
      <top/>
      <bottom style="hair">
        <color indexed="64"/>
      </bottom>
      <diagonal/>
    </border>
    <border>
      <left style="thin">
        <color indexed="64"/>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auto="1"/>
      </top>
      <bottom style="thin">
        <color auto="1"/>
      </bottom>
      <diagonal/>
    </border>
    <border>
      <left style="thin">
        <color indexed="64"/>
      </left>
      <right style="thin">
        <color indexed="64"/>
      </right>
      <top style="medium">
        <color auto="1"/>
      </top>
      <bottom/>
      <diagonal/>
    </border>
    <border>
      <left style="thin">
        <color indexed="64"/>
      </left>
      <right style="thin">
        <color indexed="64"/>
      </right>
      <top/>
      <bottom style="thin">
        <color auto="1"/>
      </bottom>
      <diagonal/>
    </border>
    <border>
      <left style="thin">
        <color indexed="64"/>
      </left>
      <right style="thin">
        <color indexed="64"/>
      </right>
      <top/>
      <bottom style="hair">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style="thin">
        <color indexed="64"/>
      </left>
      <right/>
      <top style="thin">
        <color auto="1"/>
      </top>
      <bottom/>
      <diagonal/>
    </border>
    <border>
      <left/>
      <right style="thin">
        <color indexed="64"/>
      </right>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auto="1"/>
      </top>
      <bottom style="thin">
        <color auto="1"/>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hair">
        <color indexed="64"/>
      </bottom>
      <diagonal/>
    </border>
    <border>
      <left style="medium">
        <color indexed="64"/>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bottom/>
      <diagonal/>
    </border>
    <border>
      <left style="medium">
        <color indexed="64"/>
      </left>
      <right/>
      <top/>
      <bottom style="thin">
        <color auto="1"/>
      </bottom>
      <diagonal/>
    </border>
    <border>
      <left style="thin">
        <color indexed="64"/>
      </left>
      <right style="medium">
        <color indexed="64"/>
      </right>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auto="1"/>
      </top>
      <bottom style="medium">
        <color indexed="64"/>
      </bottom>
      <diagonal/>
    </border>
    <border>
      <left style="thin">
        <color indexed="64"/>
      </left>
      <right style="hair">
        <color indexed="64"/>
      </right>
      <top/>
      <bottom/>
      <diagonal/>
    </border>
    <border>
      <left style="thin">
        <color indexed="64"/>
      </left>
      <right style="hair">
        <color indexed="64"/>
      </right>
      <top/>
      <bottom style="thin">
        <color auto="1"/>
      </bottom>
      <diagonal/>
    </border>
    <border>
      <left style="thin">
        <color indexed="64"/>
      </left>
      <right style="hair">
        <color indexed="64"/>
      </right>
      <top/>
      <bottom style="hair">
        <color indexed="64"/>
      </bottom>
      <diagonal/>
    </border>
    <border>
      <left style="hair">
        <color indexed="64"/>
      </left>
      <right style="hair">
        <color indexed="64"/>
      </right>
      <top style="thin">
        <color auto="1"/>
      </top>
      <bottom style="medium">
        <color indexed="64"/>
      </bottom>
      <diagonal/>
    </border>
    <border>
      <left style="hair">
        <color indexed="64"/>
      </left>
      <right style="hair">
        <color indexed="64"/>
      </right>
      <top style="thin">
        <color auto="1"/>
      </top>
      <bottom/>
      <diagonal/>
    </border>
    <border>
      <left style="hair">
        <color indexed="64"/>
      </left>
      <right style="hair">
        <color indexed="64"/>
      </right>
      <top/>
      <bottom/>
      <diagonal/>
    </border>
    <border>
      <left style="hair">
        <color indexed="64"/>
      </left>
      <right style="hair">
        <color indexed="64"/>
      </right>
      <top/>
      <bottom style="thin">
        <color auto="1"/>
      </bottom>
      <diagonal/>
    </border>
    <border>
      <left style="hair">
        <color indexed="64"/>
      </left>
      <right style="hair">
        <color indexed="64"/>
      </right>
      <top/>
      <bottom style="hair">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thin">
        <color auto="1"/>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right/>
      <top/>
      <bottom style="medium">
        <color theme="8" tint="-0.24994659260841701"/>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auto="1"/>
      </top>
      <bottom style="thin">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auto="1"/>
      </top>
      <bottom/>
      <diagonal/>
    </border>
    <border>
      <left style="hair">
        <color indexed="64"/>
      </left>
      <right style="hair">
        <color indexed="64"/>
      </right>
      <top/>
      <bottom style="medium">
        <color indexed="64"/>
      </bottom>
      <diagonal/>
    </border>
    <border>
      <left style="medium">
        <color indexed="64"/>
      </left>
      <right/>
      <top style="thin">
        <color indexed="64"/>
      </top>
      <bottom style="medium">
        <color indexed="64"/>
      </bottom>
      <diagonal/>
    </border>
    <border>
      <left/>
      <right style="hair">
        <color indexed="64"/>
      </right>
      <top/>
      <bottom/>
      <diagonal/>
    </border>
    <border>
      <left/>
      <right style="hair">
        <color indexed="64"/>
      </right>
      <top/>
      <bottom style="thin">
        <color auto="1"/>
      </bottom>
      <diagonal/>
    </border>
    <border>
      <left/>
      <right style="hair">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hair">
        <color auto="1"/>
      </left>
      <right/>
      <top/>
      <bottom/>
      <diagonal/>
    </border>
    <border>
      <left style="hair">
        <color indexed="64"/>
      </left>
      <right/>
      <top/>
      <bottom style="medium">
        <color indexed="64"/>
      </bottom>
      <diagonal/>
    </border>
    <border>
      <left style="hair">
        <color indexed="64"/>
      </left>
      <right/>
      <top style="medium">
        <color auto="1"/>
      </top>
      <bottom/>
      <diagonal/>
    </border>
    <border>
      <left style="hair">
        <color indexed="64"/>
      </left>
      <right/>
      <top/>
      <bottom style="thin">
        <color auto="1"/>
      </bottom>
      <diagonal/>
    </border>
    <border>
      <left style="hair">
        <color indexed="64"/>
      </left>
      <right/>
      <top/>
      <bottom style="hair">
        <color indexed="64"/>
      </bottom>
      <diagonal/>
    </border>
    <border>
      <left style="hair">
        <color auto="1"/>
      </left>
      <right style="thin">
        <color indexed="64"/>
      </right>
      <top style="medium">
        <color auto="1"/>
      </top>
      <bottom/>
      <diagonal/>
    </border>
    <border>
      <left style="hair">
        <color auto="1"/>
      </left>
      <right style="thin">
        <color indexed="64"/>
      </right>
      <top/>
      <bottom style="thin">
        <color auto="1"/>
      </bottom>
      <diagonal/>
    </border>
    <border>
      <left style="hair">
        <color auto="1"/>
      </left>
      <right style="thin">
        <color indexed="64"/>
      </right>
      <top/>
      <bottom style="hair">
        <color indexed="64"/>
      </bottom>
      <diagonal/>
    </border>
    <border>
      <left style="hair">
        <color auto="1"/>
      </left>
      <right style="thin">
        <color indexed="64"/>
      </right>
      <top/>
      <bottom style="medium">
        <color indexed="64"/>
      </bottom>
      <diagonal/>
    </border>
    <border>
      <left style="hair">
        <color auto="1"/>
      </left>
      <right/>
      <top style="thin">
        <color auto="1"/>
      </top>
      <bottom/>
      <diagonal/>
    </border>
    <border>
      <left style="hair">
        <color indexed="64"/>
      </left>
      <right/>
      <top style="thin">
        <color auto="1"/>
      </top>
      <bottom style="thin">
        <color indexed="64"/>
      </bottom>
      <diagonal/>
    </border>
    <border>
      <left style="hair">
        <color indexed="64"/>
      </left>
      <right style="thin">
        <color indexed="64"/>
      </right>
      <top style="thin">
        <color auto="1"/>
      </top>
      <bottom style="thin">
        <color indexed="64"/>
      </bottom>
      <diagonal/>
    </border>
    <border>
      <left/>
      <right style="hair">
        <color auto="1"/>
      </right>
      <top style="medium">
        <color auto="1"/>
      </top>
      <bottom/>
      <diagonal/>
    </border>
    <border>
      <left style="medium">
        <color auto="1"/>
      </left>
      <right style="medium">
        <color indexed="64"/>
      </right>
      <top style="thin">
        <color auto="1"/>
      </top>
      <bottom/>
      <diagonal/>
    </border>
    <border>
      <left style="hair">
        <color auto="1"/>
      </left>
      <right/>
      <top style="thin">
        <color auto="1"/>
      </top>
      <bottom style="medium">
        <color indexed="64"/>
      </bottom>
      <diagonal/>
    </border>
    <border>
      <left style="hair">
        <color auto="1"/>
      </left>
      <right style="thin">
        <color indexed="64"/>
      </right>
      <top style="thin">
        <color auto="1"/>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style="medium">
        <color indexed="64"/>
      </right>
      <top style="medium">
        <color indexed="64"/>
      </top>
      <bottom style="medium">
        <color indexed="64"/>
      </bottom>
      <diagonal/>
    </border>
    <border>
      <left/>
      <right style="thin">
        <color indexed="64"/>
      </right>
      <top style="medium">
        <color auto="1"/>
      </top>
      <bottom/>
      <diagonal/>
    </border>
    <border>
      <left style="thin">
        <color indexed="64"/>
      </left>
      <right style="medium">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auto="1"/>
      </right>
      <top style="medium">
        <color auto="1"/>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6" fillId="0" borderId="0"/>
    <xf numFmtId="0" fontId="1" fillId="0" borderId="0"/>
    <xf numFmtId="9" fontId="1" fillId="0" borderId="0" applyFont="0" applyFill="0" applyBorder="0" applyAlignment="0" applyProtection="0"/>
    <xf numFmtId="0" fontId="83" fillId="0" borderId="0"/>
    <xf numFmtId="0" fontId="83" fillId="0" borderId="0"/>
  </cellStyleXfs>
  <cellXfs count="1018">
    <xf numFmtId="0" fontId="0" fillId="0" borderId="0" xfId="0"/>
    <xf numFmtId="0" fontId="2" fillId="0" borderId="0" xfId="0" applyFont="1"/>
    <xf numFmtId="0" fontId="4" fillId="2" borderId="1" xfId="0" applyFont="1" applyFill="1" applyBorder="1"/>
    <xf numFmtId="0" fontId="7" fillId="0" borderId="0" xfId="0" applyFont="1"/>
    <xf numFmtId="0" fontId="7" fillId="4" borderId="0" xfId="0" applyFont="1" applyFill="1"/>
    <xf numFmtId="0" fontId="10" fillId="0" borderId="4" xfId="0" applyFont="1" applyBorder="1" applyAlignment="1">
      <alignment vertical="top" readingOrder="1"/>
    </xf>
    <xf numFmtId="0" fontId="11" fillId="0" borderId="4" xfId="0" applyFont="1" applyBorder="1" applyAlignment="1">
      <alignment vertical="top" readingOrder="1"/>
    </xf>
    <xf numFmtId="0" fontId="9" fillId="0" borderId="4" xfId="0" applyFont="1" applyBorder="1" applyAlignment="1">
      <alignment vertical="top" readingOrder="1"/>
    </xf>
    <xf numFmtId="164" fontId="11" fillId="0" borderId="4" xfId="0" applyNumberFormat="1" applyFont="1" applyBorder="1" applyAlignment="1">
      <alignment vertical="top" readingOrder="1"/>
    </xf>
    <xf numFmtId="164" fontId="9" fillId="0" borderId="4" xfId="0" applyNumberFormat="1" applyFont="1" applyBorder="1" applyAlignment="1">
      <alignment vertical="top" readingOrder="1"/>
    </xf>
    <xf numFmtId="0" fontId="3" fillId="0" borderId="0" xfId="0" applyFont="1"/>
    <xf numFmtId="43" fontId="2" fillId="0" borderId="0" xfId="1" applyFont="1"/>
    <xf numFmtId="0" fontId="12" fillId="0" borderId="0" xfId="0" applyFont="1" applyAlignment="1">
      <alignment horizontal="right"/>
    </xf>
    <xf numFmtId="0" fontId="2" fillId="0" borderId="9" xfId="0" applyFont="1" applyBorder="1"/>
    <xf numFmtId="0" fontId="2" fillId="0" borderId="10" xfId="0" applyFont="1" applyBorder="1"/>
    <xf numFmtId="0" fontId="2" fillId="0" borderId="0" xfId="0" applyFont="1" applyAlignment="1">
      <alignment horizontal="right"/>
    </xf>
    <xf numFmtId="166" fontId="2" fillId="5" borderId="10" xfId="0" applyNumberFormat="1" applyFont="1" applyFill="1" applyBorder="1"/>
    <xf numFmtId="0" fontId="15" fillId="0" borderId="0" xfId="0" applyFont="1"/>
    <xf numFmtId="165" fontId="2" fillId="2" borderId="1" xfId="0" applyNumberFormat="1" applyFont="1" applyFill="1" applyBorder="1"/>
    <xf numFmtId="165" fontId="2" fillId="5" borderId="12" xfId="0" applyNumberFormat="1" applyFont="1" applyFill="1" applyBorder="1"/>
    <xf numFmtId="166" fontId="2" fillId="5" borderId="12" xfId="0" applyNumberFormat="1" applyFont="1" applyFill="1" applyBorder="1"/>
    <xf numFmtId="166" fontId="2" fillId="5" borderId="14" xfId="0" applyNumberFormat="1" applyFont="1" applyFill="1" applyBorder="1"/>
    <xf numFmtId="166" fontId="13" fillId="5" borderId="12" xfId="0" applyNumberFormat="1" applyFont="1" applyFill="1" applyBorder="1"/>
    <xf numFmtId="165" fontId="4" fillId="6" borderId="16" xfId="0" applyNumberFormat="1" applyFont="1" applyFill="1" applyBorder="1"/>
    <xf numFmtId="165" fontId="2" fillId="5" borderId="0" xfId="0" applyNumberFormat="1" applyFont="1" applyFill="1"/>
    <xf numFmtId="166" fontId="2" fillId="5" borderId="0" xfId="0" applyNumberFormat="1" applyFont="1" applyFill="1"/>
    <xf numFmtId="165" fontId="2" fillId="2" borderId="16" xfId="0" applyNumberFormat="1" applyFont="1" applyFill="1" applyBorder="1"/>
    <xf numFmtId="166" fontId="13" fillId="5" borderId="0" xfId="0" applyNumberFormat="1" applyFont="1" applyFill="1"/>
    <xf numFmtId="0" fontId="2" fillId="0" borderId="0" xfId="0" quotePrefix="1" applyFont="1"/>
    <xf numFmtId="165" fontId="4" fillId="6" borderId="24" xfId="0" applyNumberFormat="1" applyFont="1" applyFill="1" applyBorder="1"/>
    <xf numFmtId="0" fontId="15" fillId="0" borderId="0" xfId="0" applyFont="1" applyAlignment="1">
      <alignment horizontal="center"/>
    </xf>
    <xf numFmtId="0" fontId="15" fillId="8" borderId="0" xfId="0" applyFont="1" applyFill="1" applyAlignment="1">
      <alignment horizontal="center"/>
    </xf>
    <xf numFmtId="166" fontId="15" fillId="0" borderId="0" xfId="0" applyNumberFormat="1" applyFont="1"/>
    <xf numFmtId="165" fontId="14" fillId="0" borderId="15" xfId="0" applyNumberFormat="1" applyFont="1" applyBorder="1"/>
    <xf numFmtId="0" fontId="2" fillId="0" borderId="14" xfId="0" applyFont="1" applyBorder="1" applyAlignment="1">
      <alignment horizontal="right"/>
    </xf>
    <xf numFmtId="0" fontId="2" fillId="0" borderId="10" xfId="0" applyFont="1" applyBorder="1" applyAlignment="1">
      <alignment horizontal="right"/>
    </xf>
    <xf numFmtId="7" fontId="2" fillId="0" borderId="0" xfId="0" applyNumberFormat="1" applyFont="1"/>
    <xf numFmtId="165" fontId="2" fillId="0" borderId="30" xfId="0" applyNumberFormat="1" applyFont="1" applyBorder="1"/>
    <xf numFmtId="166" fontId="2" fillId="0" borderId="30" xfId="0" applyNumberFormat="1" applyFont="1" applyBorder="1"/>
    <xf numFmtId="165" fontId="2" fillId="5" borderId="30" xfId="0" applyNumberFormat="1" applyFont="1" applyFill="1" applyBorder="1"/>
    <xf numFmtId="166" fontId="2" fillId="5" borderId="30" xfId="0" applyNumberFormat="1" applyFont="1" applyFill="1" applyBorder="1"/>
    <xf numFmtId="165" fontId="2" fillId="5" borderId="11" xfId="0" applyNumberFormat="1" applyFont="1" applyFill="1" applyBorder="1"/>
    <xf numFmtId="166" fontId="2" fillId="5" borderId="11" xfId="0" applyNumberFormat="1" applyFont="1" applyFill="1" applyBorder="1"/>
    <xf numFmtId="166" fontId="2" fillId="5" borderId="23" xfId="0" applyNumberFormat="1" applyFont="1" applyFill="1" applyBorder="1"/>
    <xf numFmtId="166" fontId="13" fillId="5" borderId="11" xfId="0" applyNumberFormat="1" applyFont="1" applyFill="1" applyBorder="1"/>
    <xf numFmtId="166" fontId="13" fillId="5" borderId="30" xfId="0" applyNumberFormat="1" applyFont="1" applyFill="1" applyBorder="1"/>
    <xf numFmtId="0" fontId="15" fillId="0" borderId="0" xfId="0" applyFont="1" applyAlignment="1">
      <alignment horizontal="right"/>
    </xf>
    <xf numFmtId="166" fontId="2" fillId="5" borderId="32" xfId="0" applyNumberFormat="1" applyFont="1" applyFill="1" applyBorder="1"/>
    <xf numFmtId="0" fontId="2" fillId="0" borderId="0" xfId="0" applyFont="1" applyAlignment="1">
      <alignment horizontal="center"/>
    </xf>
    <xf numFmtId="0" fontId="2" fillId="0" borderId="25" xfId="0" applyFont="1" applyBorder="1" applyAlignment="1">
      <alignment horizontal="right"/>
    </xf>
    <xf numFmtId="0" fontId="2" fillId="0" borderId="26" xfId="0" applyFont="1" applyBorder="1" applyAlignment="1">
      <alignment horizontal="right"/>
    </xf>
    <xf numFmtId="165" fontId="16" fillId="0" borderId="19" xfId="0" applyNumberFormat="1" applyFont="1" applyBorder="1" applyAlignment="1">
      <alignment horizontal="right" vertical="center"/>
    </xf>
    <xf numFmtId="165" fontId="16" fillId="0" borderId="18" xfId="0" applyNumberFormat="1" applyFont="1" applyBorder="1" applyAlignment="1">
      <alignment horizontal="right" vertical="center"/>
    </xf>
    <xf numFmtId="165" fontId="16" fillId="0" borderId="16" xfId="0" applyNumberFormat="1" applyFont="1" applyBorder="1" applyAlignment="1">
      <alignment horizontal="right"/>
    </xf>
    <xf numFmtId="165" fontId="16" fillId="0" borderId="1" xfId="0" applyNumberFormat="1" applyFont="1" applyBorder="1" applyAlignment="1">
      <alignment horizontal="right"/>
    </xf>
    <xf numFmtId="0" fontId="4" fillId="0" borderId="1" xfId="0" applyFont="1" applyBorder="1"/>
    <xf numFmtId="165" fontId="16" fillId="0" borderId="16" xfId="0" applyNumberFormat="1" applyFont="1" applyBorder="1" applyAlignment="1">
      <alignment horizontal="right" vertical="center"/>
    </xf>
    <xf numFmtId="0" fontId="4" fillId="0" borderId="2" xfId="0" applyFont="1" applyBorder="1"/>
    <xf numFmtId="167" fontId="16" fillId="0" borderId="18" xfId="0" applyNumberFormat="1" applyFont="1" applyBorder="1" applyAlignment="1">
      <alignment horizontal="right" vertical="center"/>
    </xf>
    <xf numFmtId="167" fontId="16" fillId="0" borderId="1" xfId="0" applyNumberFormat="1" applyFont="1" applyBorder="1" applyAlignment="1">
      <alignment horizontal="right"/>
    </xf>
    <xf numFmtId="0" fontId="2" fillId="0" borderId="27" xfId="0" applyFont="1" applyBorder="1" applyAlignment="1">
      <alignment horizontal="right"/>
    </xf>
    <xf numFmtId="167" fontId="16" fillId="0" borderId="37" xfId="0" applyNumberFormat="1" applyFont="1" applyBorder="1" applyAlignment="1">
      <alignment horizontal="right" vertical="center"/>
    </xf>
    <xf numFmtId="167" fontId="16" fillId="0" borderId="34" xfId="0" applyNumberFormat="1" applyFont="1" applyBorder="1" applyAlignment="1">
      <alignment horizontal="right"/>
    </xf>
    <xf numFmtId="0" fontId="15" fillId="0" borderId="0" xfId="0" quotePrefix="1" applyFont="1"/>
    <xf numFmtId="0" fontId="15" fillId="4" borderId="0" xfId="0" applyFont="1" applyFill="1" applyAlignment="1">
      <alignment horizontal="right"/>
    </xf>
    <xf numFmtId="166" fontId="15" fillId="4" borderId="0" xfId="0" applyNumberFormat="1" applyFont="1" applyFill="1"/>
    <xf numFmtId="0" fontId="22" fillId="0" borderId="0" xfId="0" applyFont="1"/>
    <xf numFmtId="0" fontId="15" fillId="0" borderId="14" xfId="0" applyFont="1" applyBorder="1" applyAlignment="1">
      <alignment horizontal="right"/>
    </xf>
    <xf numFmtId="0" fontId="15" fillId="0" borderId="10" xfId="0" applyFont="1" applyBorder="1" applyAlignment="1">
      <alignment horizontal="right"/>
    </xf>
    <xf numFmtId="167" fontId="14" fillId="0" borderId="15" xfId="0" applyNumberFormat="1" applyFont="1" applyBorder="1" applyAlignment="1">
      <alignment horizontal="right"/>
    </xf>
    <xf numFmtId="166" fontId="15" fillId="0" borderId="12" xfId="0" applyNumberFormat="1" applyFont="1" applyBorder="1"/>
    <xf numFmtId="167" fontId="15" fillId="0" borderId="0" xfId="0" applyNumberFormat="1" applyFont="1" applyAlignment="1">
      <alignment horizontal="right"/>
    </xf>
    <xf numFmtId="165" fontId="14" fillId="0" borderId="36" xfId="0" applyNumberFormat="1" applyFont="1" applyBorder="1"/>
    <xf numFmtId="0" fontId="15" fillId="0" borderId="10" xfId="0" applyFont="1" applyBorder="1"/>
    <xf numFmtId="166" fontId="15" fillId="0" borderId="10" xfId="0" applyNumberFormat="1" applyFont="1" applyBorder="1"/>
    <xf numFmtId="0" fontId="15" fillId="0" borderId="26" xfId="0" applyFont="1" applyBorder="1"/>
    <xf numFmtId="0" fontId="15" fillId="0" borderId="26" xfId="0" applyFont="1" applyBorder="1" applyAlignment="1">
      <alignment horizontal="right" wrapText="1"/>
    </xf>
    <xf numFmtId="165" fontId="2" fillId="0" borderId="0" xfId="0" applyNumberFormat="1" applyFont="1"/>
    <xf numFmtId="165" fontId="4" fillId="10" borderId="16" xfId="0" applyNumberFormat="1" applyFont="1" applyFill="1" applyBorder="1"/>
    <xf numFmtId="165" fontId="16" fillId="10" borderId="19" xfId="0" applyNumberFormat="1" applyFont="1" applyFill="1" applyBorder="1" applyAlignment="1">
      <alignment horizontal="right" vertical="center"/>
    </xf>
    <xf numFmtId="165" fontId="16" fillId="10" borderId="16" xfId="0" applyNumberFormat="1" applyFont="1" applyFill="1" applyBorder="1" applyAlignment="1">
      <alignment horizontal="right"/>
    </xf>
    <xf numFmtId="0" fontId="2" fillId="9" borderId="20" xfId="0" applyFont="1" applyFill="1" applyBorder="1"/>
    <xf numFmtId="165" fontId="4" fillId="0" borderId="24" xfId="0" applyNumberFormat="1" applyFont="1" applyBorder="1"/>
    <xf numFmtId="0" fontId="14" fillId="0" borderId="0" xfId="0" applyFont="1"/>
    <xf numFmtId="166" fontId="14" fillId="0" borderId="0" xfId="0" applyNumberFormat="1" applyFont="1"/>
    <xf numFmtId="0" fontId="24" fillId="0" borderId="0" xfId="0" applyFont="1"/>
    <xf numFmtId="165" fontId="2" fillId="0" borderId="12" xfId="0" applyNumberFormat="1" applyFont="1" applyBorder="1" applyAlignment="1">
      <alignment horizontal="right"/>
    </xf>
    <xf numFmtId="165" fontId="2" fillId="0" borderId="0" xfId="0" applyNumberFormat="1" applyFont="1" applyAlignment="1">
      <alignment horizontal="right"/>
    </xf>
    <xf numFmtId="166" fontId="2" fillId="0" borderId="32" xfId="0" applyNumberFormat="1" applyFont="1" applyBorder="1"/>
    <xf numFmtId="165" fontId="4" fillId="0" borderId="34" xfId="0" applyNumberFormat="1" applyFont="1" applyBorder="1"/>
    <xf numFmtId="167" fontId="2" fillId="2" borderId="34" xfId="0" applyNumberFormat="1" applyFont="1" applyFill="1" applyBorder="1"/>
    <xf numFmtId="0" fontId="2" fillId="0" borderId="0" xfId="0" applyFont="1" applyAlignment="1">
      <alignment vertical="center"/>
    </xf>
    <xf numFmtId="0" fontId="2" fillId="0" borderId="9" xfId="0" applyFont="1" applyBorder="1" applyAlignment="1">
      <alignment vertical="center"/>
    </xf>
    <xf numFmtId="0" fontId="4" fillId="2" borderId="0" xfId="0" applyFont="1" applyFill="1"/>
    <xf numFmtId="165" fontId="4" fillId="6" borderId="11" xfId="0" applyNumberFormat="1" applyFont="1" applyFill="1" applyBorder="1"/>
    <xf numFmtId="165" fontId="2" fillId="2" borderId="12" xfId="0" applyNumberFormat="1" applyFont="1" applyFill="1" applyBorder="1"/>
    <xf numFmtId="165" fontId="2" fillId="2" borderId="0" xfId="0" applyNumberFormat="1" applyFont="1" applyFill="1"/>
    <xf numFmtId="165" fontId="4" fillId="10" borderId="12" xfId="0" applyNumberFormat="1" applyFont="1" applyFill="1" applyBorder="1"/>
    <xf numFmtId="167" fontId="2" fillId="2" borderId="30" xfId="0" applyNumberFormat="1" applyFont="1" applyFill="1" applyBorder="1"/>
    <xf numFmtId="0" fontId="6" fillId="3" borderId="15" xfId="0" applyFont="1" applyFill="1" applyBorder="1"/>
    <xf numFmtId="165" fontId="4" fillId="7" borderId="44" xfId="0" applyNumberFormat="1" applyFont="1" applyFill="1" applyBorder="1"/>
    <xf numFmtId="165" fontId="4" fillId="3" borderId="36" xfId="0" applyNumberFormat="1" applyFont="1" applyFill="1" applyBorder="1"/>
    <xf numFmtId="165" fontId="4" fillId="3" borderId="15" xfId="0" applyNumberFormat="1" applyFont="1" applyFill="1" applyBorder="1"/>
    <xf numFmtId="165" fontId="4" fillId="9" borderId="36" xfId="0" applyNumberFormat="1" applyFont="1" applyFill="1" applyBorder="1"/>
    <xf numFmtId="167" fontId="4" fillId="3" borderId="43" xfId="0" applyNumberFormat="1" applyFont="1" applyFill="1" applyBorder="1"/>
    <xf numFmtId="165" fontId="4" fillId="0" borderId="11" xfId="0" applyNumberFormat="1" applyFont="1" applyBorder="1"/>
    <xf numFmtId="165" fontId="4" fillId="0" borderId="44" xfId="0" applyNumberFormat="1" applyFont="1" applyBorder="1"/>
    <xf numFmtId="165" fontId="4" fillId="6" borderId="12" xfId="0" applyNumberFormat="1" applyFont="1" applyFill="1" applyBorder="1"/>
    <xf numFmtId="165" fontId="4" fillId="10" borderId="24" xfId="0" applyNumberFormat="1" applyFont="1" applyFill="1" applyBorder="1"/>
    <xf numFmtId="165" fontId="4" fillId="10" borderId="11" xfId="0" applyNumberFormat="1" applyFont="1" applyFill="1" applyBorder="1"/>
    <xf numFmtId="165" fontId="4" fillId="9" borderId="44" xfId="0" applyNumberFormat="1" applyFont="1" applyFill="1" applyBorder="1"/>
    <xf numFmtId="165" fontId="4" fillId="7" borderId="36" xfId="0" applyNumberFormat="1" applyFont="1" applyFill="1" applyBorder="1"/>
    <xf numFmtId="165" fontId="4" fillId="0" borderId="30" xfId="0" applyNumberFormat="1" applyFont="1" applyBorder="1"/>
    <xf numFmtId="165" fontId="2" fillId="0" borderId="46" xfId="0" applyNumberFormat="1" applyFont="1" applyBorder="1"/>
    <xf numFmtId="166" fontId="2" fillId="0" borderId="46" xfId="0" applyNumberFormat="1" applyFont="1" applyBorder="1"/>
    <xf numFmtId="166" fontId="2" fillId="0" borderId="47" xfId="0" applyNumberFormat="1" applyFont="1" applyBorder="1"/>
    <xf numFmtId="165" fontId="4" fillId="0" borderId="48" xfId="0" applyNumberFormat="1" applyFont="1" applyBorder="1"/>
    <xf numFmtId="165" fontId="4" fillId="0" borderId="46" xfId="0" applyNumberFormat="1" applyFont="1" applyBorder="1"/>
    <xf numFmtId="165" fontId="4" fillId="0" borderId="45" xfId="0" applyNumberFormat="1" applyFont="1" applyBorder="1"/>
    <xf numFmtId="165" fontId="2" fillId="0" borderId="51" xfId="0" applyNumberFormat="1" applyFont="1" applyBorder="1"/>
    <xf numFmtId="166" fontId="2" fillId="0" borderId="51" xfId="0" applyNumberFormat="1" applyFont="1" applyBorder="1"/>
    <xf numFmtId="166" fontId="2" fillId="0" borderId="52" xfId="0" applyNumberFormat="1" applyFont="1" applyBorder="1"/>
    <xf numFmtId="165" fontId="4" fillId="0" borderId="53" xfId="0" applyNumberFormat="1" applyFont="1" applyBorder="1"/>
    <xf numFmtId="165" fontId="4" fillId="0" borderId="51" xfId="0" applyNumberFormat="1" applyFont="1" applyBorder="1"/>
    <xf numFmtId="165" fontId="4" fillId="0" borderId="49" xfId="0" applyNumberFormat="1" applyFont="1" applyBorder="1"/>
    <xf numFmtId="165" fontId="4" fillId="11" borderId="15" xfId="0" applyNumberFormat="1" applyFont="1" applyFill="1" applyBorder="1"/>
    <xf numFmtId="165" fontId="4" fillId="12" borderId="1" xfId="0" applyNumberFormat="1" applyFont="1" applyFill="1" applyBorder="1"/>
    <xf numFmtId="165" fontId="4" fillId="12" borderId="0" xfId="0" applyNumberFormat="1" applyFont="1" applyFill="1"/>
    <xf numFmtId="165" fontId="2" fillId="12" borderId="0" xfId="0" applyNumberFormat="1" applyFont="1" applyFill="1"/>
    <xf numFmtId="166" fontId="2" fillId="12" borderId="0" xfId="0" applyNumberFormat="1" applyFont="1" applyFill="1"/>
    <xf numFmtId="166" fontId="2" fillId="12" borderId="10" xfId="0" applyNumberFormat="1" applyFont="1" applyFill="1" applyBorder="1"/>
    <xf numFmtId="0" fontId="13" fillId="0" borderId="0" xfId="0" applyFont="1"/>
    <xf numFmtId="0" fontId="13" fillId="0" borderId="0" xfId="0" applyFont="1" applyAlignment="1">
      <alignment horizontal="left" indent="1"/>
    </xf>
    <xf numFmtId="0" fontId="5" fillId="0" borderId="0" xfId="0" applyFont="1"/>
    <xf numFmtId="166" fontId="13" fillId="0" borderId="51" xfId="0" applyNumberFormat="1" applyFont="1" applyBorder="1"/>
    <xf numFmtId="166" fontId="13" fillId="12" borderId="0" xfId="0" applyNumberFormat="1" applyFont="1" applyFill="1"/>
    <xf numFmtId="166" fontId="5" fillId="5" borderId="11" xfId="0" applyNumberFormat="1" applyFont="1" applyFill="1" applyBorder="1"/>
    <xf numFmtId="166" fontId="5" fillId="5" borderId="12" xfId="0" applyNumberFormat="1" applyFont="1" applyFill="1" applyBorder="1"/>
    <xf numFmtId="166" fontId="5" fillId="5" borderId="0" xfId="0" applyNumberFormat="1" applyFont="1" applyFill="1"/>
    <xf numFmtId="166" fontId="5" fillId="5" borderId="30" xfId="0" applyNumberFormat="1" applyFont="1" applyFill="1" applyBorder="1"/>
    <xf numFmtId="166" fontId="5" fillId="0" borderId="46" xfId="0" applyNumberFormat="1" applyFont="1" applyBorder="1"/>
    <xf numFmtId="166" fontId="5" fillId="0" borderId="51" xfId="0" applyNumberFormat="1" applyFont="1" applyBorder="1"/>
    <xf numFmtId="166" fontId="5" fillId="0" borderId="30" xfId="0" applyNumberFormat="1" applyFont="1" applyBorder="1"/>
    <xf numFmtId="166" fontId="5" fillId="12" borderId="0" xfId="0" applyNumberFormat="1" applyFont="1" applyFill="1"/>
    <xf numFmtId="165" fontId="2" fillId="6" borderId="12" xfId="0" applyNumberFormat="1" applyFont="1" applyFill="1" applyBorder="1"/>
    <xf numFmtId="166" fontId="2" fillId="6" borderId="12" xfId="0" applyNumberFormat="1" applyFont="1" applyFill="1" applyBorder="1"/>
    <xf numFmtId="166" fontId="13" fillId="6" borderId="12" xfId="0" applyNumberFormat="1" applyFont="1" applyFill="1" applyBorder="1"/>
    <xf numFmtId="166" fontId="5" fillId="6" borderId="12" xfId="0" applyNumberFormat="1" applyFont="1" applyFill="1" applyBorder="1"/>
    <xf numFmtId="166" fontId="2" fillId="6" borderId="14" xfId="0" applyNumberFormat="1" applyFont="1" applyFill="1" applyBorder="1"/>
    <xf numFmtId="165" fontId="4" fillId="0" borderId="0" xfId="0" applyNumberFormat="1" applyFont="1" applyAlignment="1">
      <alignment horizontal="right"/>
    </xf>
    <xf numFmtId="165" fontId="2" fillId="0" borderId="14" xfId="0" applyNumberFormat="1" applyFont="1" applyBorder="1" applyAlignment="1">
      <alignment horizontal="right"/>
    </xf>
    <xf numFmtId="165" fontId="2" fillId="0" borderId="10" xfId="0" applyNumberFormat="1" applyFont="1" applyBorder="1" applyAlignment="1">
      <alignment horizontal="right"/>
    </xf>
    <xf numFmtId="0" fontId="2" fillId="0" borderId="0" xfId="0" applyFont="1" applyAlignment="1">
      <alignment horizontal="left" indent="1"/>
    </xf>
    <xf numFmtId="0" fontId="2" fillId="0" borderId="12" xfId="0" applyFont="1" applyBorder="1" applyAlignment="1">
      <alignment horizontal="left" indent="1"/>
    </xf>
    <xf numFmtId="0" fontId="2" fillId="0" borderId="14" xfId="0" applyFont="1" applyBorder="1" applyAlignment="1">
      <alignment horizontal="left" indent="1"/>
    </xf>
    <xf numFmtId="0" fontId="2" fillId="2" borderId="8" xfId="0" applyFont="1" applyFill="1" applyBorder="1"/>
    <xf numFmtId="0" fontId="2" fillId="2" borderId="21" xfId="0" applyFont="1" applyFill="1" applyBorder="1" applyAlignment="1">
      <alignment horizontal="right" wrapText="1"/>
    </xf>
    <xf numFmtId="0" fontId="2" fillId="2" borderId="8" xfId="0" quotePrefix="1" applyFont="1" applyFill="1" applyBorder="1" applyAlignment="1">
      <alignment horizontal="right" wrapText="1"/>
    </xf>
    <xf numFmtId="0" fontId="2" fillId="2" borderId="21" xfId="0" applyFont="1" applyFill="1" applyBorder="1" applyAlignment="1">
      <alignment horizontal="left" indent="1"/>
    </xf>
    <xf numFmtId="165" fontId="4" fillId="0" borderId="58" xfId="0" applyNumberFormat="1" applyFont="1" applyBorder="1"/>
    <xf numFmtId="165" fontId="4" fillId="0" borderId="59" xfId="0" applyNumberFormat="1" applyFont="1" applyBorder="1"/>
    <xf numFmtId="166" fontId="2" fillId="0" borderId="60" xfId="0" applyNumberFormat="1" applyFont="1" applyBorder="1"/>
    <xf numFmtId="166" fontId="5" fillId="0" borderId="60" xfId="0" applyNumberFormat="1" applyFont="1" applyBorder="1"/>
    <xf numFmtId="0" fontId="4" fillId="0" borderId="0" xfId="0" applyFont="1"/>
    <xf numFmtId="165" fontId="16" fillId="0" borderId="12" xfId="0" applyNumberFormat="1" applyFont="1" applyBorder="1" applyAlignment="1">
      <alignment horizontal="right"/>
    </xf>
    <xf numFmtId="165" fontId="16" fillId="0" borderId="0" xfId="0" applyNumberFormat="1" applyFont="1" applyAlignment="1">
      <alignment horizontal="right"/>
    </xf>
    <xf numFmtId="167" fontId="16" fillId="0" borderId="0" xfId="0" applyNumberFormat="1" applyFont="1" applyAlignment="1">
      <alignment horizontal="right"/>
    </xf>
    <xf numFmtId="165" fontId="17" fillId="3" borderId="36" xfId="0" applyNumberFormat="1" applyFont="1" applyFill="1" applyBorder="1" applyAlignment="1">
      <alignment horizontal="right" vertical="center"/>
    </xf>
    <xf numFmtId="165" fontId="17" fillId="3" borderId="15" xfId="0" applyNumberFormat="1" applyFont="1" applyFill="1" applyBorder="1" applyAlignment="1">
      <alignment horizontal="right" vertical="center"/>
    </xf>
    <xf numFmtId="167" fontId="17" fillId="3" borderId="15" xfId="0" applyNumberFormat="1" applyFont="1" applyFill="1" applyBorder="1" applyAlignment="1">
      <alignment horizontal="right" vertical="center"/>
    </xf>
    <xf numFmtId="165" fontId="16" fillId="10" borderId="12" xfId="0" applyNumberFormat="1" applyFont="1" applyFill="1" applyBorder="1" applyAlignment="1">
      <alignment horizontal="right"/>
    </xf>
    <xf numFmtId="167" fontId="16" fillId="0" borderId="30" xfId="0" applyNumberFormat="1" applyFont="1" applyBorder="1" applyAlignment="1">
      <alignment horizontal="right"/>
    </xf>
    <xf numFmtId="165" fontId="17" fillId="9" borderId="36" xfId="0" applyNumberFormat="1" applyFont="1" applyFill="1" applyBorder="1" applyAlignment="1">
      <alignment horizontal="right" vertical="center"/>
    </xf>
    <xf numFmtId="167" fontId="17" fillId="3" borderId="43" xfId="0" applyNumberFormat="1" applyFont="1" applyFill="1" applyBorder="1" applyAlignment="1">
      <alignment horizontal="right" vertical="center"/>
    </xf>
    <xf numFmtId="0" fontId="32" fillId="4" borderId="0" xfId="0" applyFont="1" applyFill="1"/>
    <xf numFmtId="0" fontId="2" fillId="0" borderId="3" xfId="0" applyFont="1" applyBorder="1" applyAlignment="1">
      <alignment horizontal="left" indent="1"/>
    </xf>
    <xf numFmtId="165" fontId="33" fillId="2" borderId="0" xfId="0" applyNumberFormat="1" applyFont="1" applyFill="1"/>
    <xf numFmtId="168" fontId="33" fillId="2" borderId="3" xfId="1" applyNumberFormat="1" applyFont="1" applyFill="1" applyBorder="1" applyAlignment="1">
      <alignment horizontal="right"/>
    </xf>
    <xf numFmtId="0" fontId="31" fillId="0" borderId="0" xfId="0" applyFont="1"/>
    <xf numFmtId="165" fontId="2" fillId="0" borderId="12" xfId="0" applyNumberFormat="1" applyFont="1" applyBorder="1"/>
    <xf numFmtId="168" fontId="2" fillId="0" borderId="17" xfId="1" applyNumberFormat="1" applyFont="1" applyBorder="1" applyAlignment="1">
      <alignment horizontal="right"/>
    </xf>
    <xf numFmtId="167" fontId="2" fillId="0" borderId="0" xfId="0" applyNumberFormat="1" applyFont="1"/>
    <xf numFmtId="167" fontId="2" fillId="0" borderId="3" xfId="0" applyNumberFormat="1" applyFont="1" applyBorder="1" applyAlignment="1">
      <alignment horizontal="right"/>
    </xf>
    <xf numFmtId="0" fontId="2" fillId="0" borderId="61" xfId="0" applyFont="1" applyBorder="1"/>
    <xf numFmtId="0" fontId="15" fillId="0" borderId="70" xfId="0" applyFont="1" applyBorder="1"/>
    <xf numFmtId="0" fontId="15" fillId="0" borderId="71" xfId="0" applyFont="1" applyBorder="1"/>
    <xf numFmtId="0" fontId="2" fillId="0" borderId="72" xfId="0" applyFont="1" applyBorder="1"/>
    <xf numFmtId="0" fontId="2" fillId="0" borderId="73" xfId="0" applyFont="1" applyBorder="1"/>
    <xf numFmtId="165" fontId="34" fillId="14" borderId="16" xfId="0" applyNumberFormat="1" applyFont="1" applyFill="1" applyBorder="1"/>
    <xf numFmtId="0" fontId="35" fillId="14" borderId="0" xfId="0" applyFont="1" applyFill="1"/>
    <xf numFmtId="0" fontId="15" fillId="2" borderId="41" xfId="0" applyFont="1" applyFill="1" applyBorder="1" applyAlignment="1">
      <alignment horizontal="right" wrapText="1"/>
    </xf>
    <xf numFmtId="0" fontId="15" fillId="2" borderId="25" xfId="0" applyFont="1" applyFill="1" applyBorder="1" applyAlignment="1">
      <alignment horizontal="right" wrapText="1"/>
    </xf>
    <xf numFmtId="0" fontId="15" fillId="2" borderId="66" xfId="0" applyFont="1" applyFill="1" applyBorder="1" applyAlignment="1">
      <alignment horizontal="right" wrapText="1"/>
    </xf>
    <xf numFmtId="165" fontId="2" fillId="2" borderId="67" xfId="0" applyNumberFormat="1" applyFont="1" applyFill="1" applyBorder="1"/>
    <xf numFmtId="165" fontId="2" fillId="2" borderId="19" xfId="0" applyNumberFormat="1" applyFont="1" applyFill="1" applyBorder="1"/>
    <xf numFmtId="165" fontId="2" fillId="2" borderId="69" xfId="0" applyNumberFormat="1" applyFont="1" applyFill="1" applyBorder="1"/>
    <xf numFmtId="165" fontId="2" fillId="2" borderId="42" xfId="0" applyNumberFormat="1" applyFont="1" applyFill="1" applyBorder="1"/>
    <xf numFmtId="165" fontId="2" fillId="2" borderId="68" xfId="0" applyNumberFormat="1" applyFont="1" applyFill="1" applyBorder="1"/>
    <xf numFmtId="165" fontId="2" fillId="2" borderId="17" xfId="0" applyNumberFormat="1" applyFont="1" applyFill="1" applyBorder="1"/>
    <xf numFmtId="165" fontId="2" fillId="2" borderId="54" xfId="0" applyNumberFormat="1" applyFont="1" applyFill="1" applyBorder="1"/>
    <xf numFmtId="165" fontId="34" fillId="14" borderId="1" xfId="0" applyNumberFormat="1" applyFont="1" applyFill="1" applyBorder="1"/>
    <xf numFmtId="9" fontId="2" fillId="0" borderId="0" xfId="5" applyFont="1"/>
    <xf numFmtId="169" fontId="2" fillId="0" borderId="0" xfId="5" applyNumberFormat="1" applyFont="1"/>
    <xf numFmtId="165" fontId="4" fillId="0" borderId="0" xfId="0" applyNumberFormat="1" applyFont="1"/>
    <xf numFmtId="165" fontId="2" fillId="4" borderId="0" xfId="0" applyNumberFormat="1" applyFont="1" applyFill="1"/>
    <xf numFmtId="168" fontId="2" fillId="4" borderId="3" xfId="1" applyNumberFormat="1" applyFont="1" applyFill="1" applyBorder="1" applyAlignment="1">
      <alignment horizontal="right"/>
    </xf>
    <xf numFmtId="0" fontId="2" fillId="0" borderId="32" xfId="0" applyFont="1" applyBorder="1"/>
    <xf numFmtId="0" fontId="2" fillId="0" borderId="0" xfId="0" applyFont="1" applyAlignment="1">
      <alignment horizontal="left"/>
    </xf>
    <xf numFmtId="0" fontId="29" fillId="3" borderId="76" xfId="4" applyFont="1" applyFill="1" applyBorder="1" applyAlignment="1">
      <alignment vertical="center" wrapText="1"/>
    </xf>
    <xf numFmtId="165" fontId="29" fillId="3" borderId="81" xfId="2" applyNumberFormat="1" applyFont="1" applyFill="1" applyBorder="1" applyAlignment="1">
      <alignment horizontal="right" vertical="center" wrapText="1"/>
    </xf>
    <xf numFmtId="165" fontId="15" fillId="0" borderId="0" xfId="0" applyNumberFormat="1" applyFont="1"/>
    <xf numFmtId="0" fontId="37" fillId="0" borderId="0" xfId="0" quotePrefix="1" applyFont="1"/>
    <xf numFmtId="166" fontId="13" fillId="0" borderId="46" xfId="0" applyNumberFormat="1" applyFont="1" applyBorder="1"/>
    <xf numFmtId="165" fontId="4" fillId="13" borderId="48" xfId="0" applyNumberFormat="1" applyFont="1" applyFill="1" applyBorder="1"/>
    <xf numFmtId="166" fontId="2" fillId="13" borderId="52" xfId="0" applyNumberFormat="1" applyFont="1" applyFill="1" applyBorder="1"/>
    <xf numFmtId="166" fontId="2" fillId="13" borderId="51" xfId="0" applyNumberFormat="1" applyFont="1" applyFill="1" applyBorder="1"/>
    <xf numFmtId="165" fontId="4" fillId="13" borderId="53" xfId="0" applyNumberFormat="1" applyFont="1" applyFill="1" applyBorder="1"/>
    <xf numFmtId="166" fontId="5" fillId="13" borderId="51" xfId="0" applyNumberFormat="1" applyFont="1" applyFill="1" applyBorder="1"/>
    <xf numFmtId="166" fontId="13" fillId="13" borderId="51" xfId="0" applyNumberFormat="1" applyFont="1" applyFill="1" applyBorder="1"/>
    <xf numFmtId="166" fontId="13" fillId="0" borderId="60" xfId="0" applyNumberFormat="1" applyFont="1" applyBorder="1"/>
    <xf numFmtId="165" fontId="4" fillId="0" borderId="49" xfId="0" applyNumberFormat="1" applyFont="1" applyBorder="1" applyAlignment="1">
      <alignment horizontal="right"/>
    </xf>
    <xf numFmtId="0" fontId="38" fillId="0" borderId="0" xfId="0" applyFont="1"/>
    <xf numFmtId="0" fontId="41" fillId="0" borderId="4" xfId="0" applyFont="1" applyBorder="1" applyAlignment="1">
      <alignment vertical="top" readingOrder="1"/>
    </xf>
    <xf numFmtId="0" fontId="40" fillId="0" borderId="4" xfId="0" applyFont="1" applyBorder="1" applyAlignment="1">
      <alignment vertical="top" readingOrder="1"/>
    </xf>
    <xf numFmtId="0" fontId="42" fillId="0" borderId="4" xfId="0" applyFont="1" applyBorder="1" applyAlignment="1">
      <alignment vertical="top" readingOrder="1"/>
    </xf>
    <xf numFmtId="164" fontId="42" fillId="0" borderId="4" xfId="0" applyNumberFormat="1" applyFont="1" applyBorder="1" applyAlignment="1">
      <alignment vertical="top" readingOrder="1"/>
    </xf>
    <xf numFmtId="164" fontId="40" fillId="0" borderId="4" xfId="0" applyNumberFormat="1" applyFont="1" applyBorder="1" applyAlignment="1">
      <alignment vertical="top" readingOrder="1"/>
    </xf>
    <xf numFmtId="0" fontId="38" fillId="4" borderId="0" xfId="0" applyFont="1" applyFill="1"/>
    <xf numFmtId="0" fontId="27" fillId="0" borderId="0" xfId="0" applyFont="1"/>
    <xf numFmtId="0" fontId="16" fillId="0" borderId="0" xfId="0" applyFont="1" applyAlignment="1">
      <alignment horizontal="left"/>
    </xf>
    <xf numFmtId="0" fontId="15" fillId="0" borderId="0" xfId="0" applyFont="1" applyAlignment="1">
      <alignment vertical="top"/>
    </xf>
    <xf numFmtId="0" fontId="15" fillId="0" borderId="3" xfId="0" applyFont="1" applyBorder="1" applyAlignment="1">
      <alignment vertical="top" wrapText="1"/>
    </xf>
    <xf numFmtId="171" fontId="15" fillId="0" borderId="17" xfId="0" applyNumberFormat="1" applyFont="1" applyBorder="1" applyAlignment="1">
      <alignment vertical="top"/>
    </xf>
    <xf numFmtId="0" fontId="15" fillId="0" borderId="1" xfId="0" applyFont="1" applyBorder="1" applyAlignment="1">
      <alignment vertical="top" wrapText="1"/>
    </xf>
    <xf numFmtId="171" fontId="15" fillId="0" borderId="16" xfId="0" applyNumberFormat="1" applyFont="1" applyBorder="1" applyAlignment="1">
      <alignment vertical="top"/>
    </xf>
    <xf numFmtId="171" fontId="15" fillId="0" borderId="88" xfId="0" applyNumberFormat="1" applyFont="1" applyBorder="1" applyAlignment="1">
      <alignment vertical="top"/>
    </xf>
    <xf numFmtId="171" fontId="15" fillId="0" borderId="85" xfId="0" applyNumberFormat="1" applyFont="1" applyBorder="1" applyAlignment="1">
      <alignment vertical="top"/>
    </xf>
    <xf numFmtId="168" fontId="15" fillId="0" borderId="88" xfId="0" applyNumberFormat="1" applyFont="1" applyBorder="1" applyAlignment="1">
      <alignment vertical="top"/>
    </xf>
    <xf numFmtId="168" fontId="15" fillId="0" borderId="85" xfId="0" applyNumberFormat="1" applyFont="1" applyBorder="1" applyAlignment="1">
      <alignment vertical="top"/>
    </xf>
    <xf numFmtId="165" fontId="15" fillId="0" borderId="88" xfId="0" applyNumberFormat="1" applyFont="1" applyBorder="1" applyAlignment="1">
      <alignment vertical="top"/>
    </xf>
    <xf numFmtId="165" fontId="15" fillId="0" borderId="85" xfId="0" applyNumberFormat="1" applyFont="1" applyBorder="1" applyAlignment="1">
      <alignment vertical="top"/>
    </xf>
    <xf numFmtId="165" fontId="15" fillId="0" borderId="91" xfId="0" applyNumberFormat="1" applyFont="1" applyBorder="1" applyAlignment="1">
      <alignment vertical="top"/>
    </xf>
    <xf numFmtId="165" fontId="15" fillId="0" borderId="92" xfId="0" applyNumberFormat="1" applyFont="1" applyBorder="1" applyAlignment="1">
      <alignment vertical="top"/>
    </xf>
    <xf numFmtId="0" fontId="44" fillId="0" borderId="0" xfId="0" applyFont="1"/>
    <xf numFmtId="0" fontId="15" fillId="3" borderId="26" xfId="0" applyFont="1" applyFill="1" applyBorder="1" applyAlignment="1">
      <alignment vertical="top"/>
    </xf>
    <xf numFmtId="0" fontId="15" fillId="3" borderId="26" xfId="0" applyFont="1" applyFill="1" applyBorder="1" applyAlignment="1">
      <alignment vertical="top" wrapText="1"/>
    </xf>
    <xf numFmtId="171" fontId="15" fillId="3" borderId="25" xfId="0" applyNumberFormat="1" applyFont="1" applyFill="1" applyBorder="1" applyAlignment="1">
      <alignment vertical="top"/>
    </xf>
    <xf numFmtId="171" fontId="15" fillId="3" borderId="94" xfId="0" applyNumberFormat="1" applyFont="1" applyFill="1" applyBorder="1" applyAlignment="1">
      <alignment vertical="top"/>
    </xf>
    <xf numFmtId="170" fontId="15" fillId="3" borderId="94" xfId="1" applyNumberFormat="1" applyFont="1" applyFill="1" applyBorder="1" applyAlignment="1">
      <alignment vertical="top"/>
    </xf>
    <xf numFmtId="165" fontId="15" fillId="3" borderId="95" xfId="0" applyNumberFormat="1" applyFont="1" applyFill="1" applyBorder="1" applyAlignment="1">
      <alignment vertical="top"/>
    </xf>
    <xf numFmtId="0" fontId="14" fillId="3" borderId="25" xfId="0" applyFont="1" applyFill="1" applyBorder="1" applyAlignment="1">
      <alignment horizontal="right" wrapText="1"/>
    </xf>
    <xf numFmtId="0" fontId="14" fillId="3" borderId="94" xfId="0" applyFont="1" applyFill="1" applyBorder="1" applyAlignment="1">
      <alignment horizontal="right"/>
    </xf>
    <xf numFmtId="0" fontId="15" fillId="0" borderId="37" xfId="0" applyFont="1" applyBorder="1" applyAlignment="1">
      <alignment horizontal="center" vertical="center"/>
    </xf>
    <xf numFmtId="0" fontId="15" fillId="0" borderId="34" xfId="0" applyFont="1" applyBorder="1" applyAlignment="1">
      <alignment horizontal="center" vertical="center"/>
    </xf>
    <xf numFmtId="0" fontId="15" fillId="0" borderId="1" xfId="0" quotePrefix="1" applyFont="1" applyBorder="1" applyAlignment="1">
      <alignment vertical="top" wrapText="1"/>
    </xf>
    <xf numFmtId="0" fontId="15" fillId="0" borderId="35" xfId="0" applyFont="1" applyBorder="1" applyAlignment="1">
      <alignment horizontal="center" vertical="center"/>
    </xf>
    <xf numFmtId="170" fontId="46" fillId="0" borderId="88" xfId="1" applyNumberFormat="1" applyFont="1" applyBorder="1" applyAlignment="1">
      <alignment vertical="top"/>
    </xf>
    <xf numFmtId="170" fontId="46" fillId="0" borderId="85" xfId="1" applyNumberFormat="1" applyFont="1" applyBorder="1" applyAlignment="1">
      <alignment vertical="top"/>
    </xf>
    <xf numFmtId="0" fontId="27" fillId="0" borderId="62" xfId="4" applyFont="1" applyBorder="1" applyAlignment="1">
      <alignment horizontal="left" vertical="top" wrapText="1" indent="1"/>
    </xf>
    <xf numFmtId="165" fontId="28" fillId="0" borderId="80" xfId="2" applyNumberFormat="1" applyFont="1" applyFill="1" applyBorder="1" applyAlignment="1">
      <alignment horizontal="right" vertical="top" wrapText="1" readingOrder="1"/>
    </xf>
    <xf numFmtId="0" fontId="27" fillId="0" borderId="40" xfId="4" applyFont="1" applyBorder="1" applyAlignment="1">
      <alignment horizontal="left" vertical="top" wrapText="1" indent="1"/>
    </xf>
    <xf numFmtId="165" fontId="30" fillId="0" borderId="51" xfId="2" applyNumberFormat="1" applyFont="1" applyFill="1" applyBorder="1" applyAlignment="1">
      <alignment horizontal="right" vertical="top" wrapText="1" readingOrder="1"/>
    </xf>
    <xf numFmtId="165" fontId="30" fillId="0" borderId="71" xfId="2" applyNumberFormat="1" applyFont="1" applyFill="1" applyBorder="1" applyAlignment="1">
      <alignment horizontal="right" vertical="top" wrapText="1" readingOrder="1"/>
    </xf>
    <xf numFmtId="165" fontId="30" fillId="0" borderId="52" xfId="2" applyNumberFormat="1" applyFont="1" applyFill="1" applyBorder="1" applyAlignment="1">
      <alignment horizontal="right" vertical="top" wrapText="1" readingOrder="1"/>
    </xf>
    <xf numFmtId="165" fontId="30" fillId="0" borderId="97" xfId="2" applyNumberFormat="1" applyFont="1" applyFill="1" applyBorder="1" applyAlignment="1">
      <alignment horizontal="right" vertical="top" wrapText="1" readingOrder="1"/>
    </xf>
    <xf numFmtId="165" fontId="28" fillId="0" borderId="40" xfId="2" applyNumberFormat="1" applyFont="1" applyFill="1" applyBorder="1" applyAlignment="1">
      <alignment horizontal="right" vertical="top" wrapText="1" readingOrder="1"/>
    </xf>
    <xf numFmtId="165" fontId="30" fillId="0" borderId="41" xfId="2" applyNumberFormat="1" applyFont="1" applyFill="1" applyBorder="1" applyAlignment="1">
      <alignment horizontal="right" vertical="top" wrapText="1" readingOrder="1"/>
    </xf>
    <xf numFmtId="165" fontId="29" fillId="3" borderId="68" xfId="2" applyNumberFormat="1" applyFont="1" applyFill="1" applyBorder="1" applyAlignment="1">
      <alignment horizontal="right" vertical="center" wrapText="1"/>
    </xf>
    <xf numFmtId="0" fontId="15" fillId="0" borderId="68" xfId="0" applyFont="1" applyBorder="1" applyAlignment="1">
      <alignment horizontal="right"/>
    </xf>
    <xf numFmtId="0" fontId="15" fillId="0" borderId="64" xfId="0" applyFont="1" applyBorder="1" applyAlignment="1">
      <alignment horizontal="right"/>
    </xf>
    <xf numFmtId="167" fontId="15" fillId="0" borderId="63" xfId="0" applyNumberFormat="1" applyFont="1" applyBorder="1" applyAlignment="1">
      <alignment horizontal="right"/>
    </xf>
    <xf numFmtId="167" fontId="47" fillId="0" borderId="63" xfId="0" applyNumberFormat="1" applyFont="1" applyBorder="1" applyAlignment="1">
      <alignment horizontal="right"/>
    </xf>
    <xf numFmtId="167" fontId="14" fillId="3" borderId="64" xfId="0" applyNumberFormat="1" applyFont="1" applyFill="1" applyBorder="1" applyAlignment="1">
      <alignment horizontal="right"/>
    </xf>
    <xf numFmtId="167" fontId="47" fillId="0" borderId="65" xfId="0" applyNumberFormat="1" applyFont="1" applyBorder="1" applyAlignment="1">
      <alignment horizontal="right"/>
    </xf>
    <xf numFmtId="0" fontId="29" fillId="0" borderId="40" xfId="4" applyFont="1" applyBorder="1" applyAlignment="1">
      <alignment horizontal="left" vertical="top" wrapText="1"/>
    </xf>
    <xf numFmtId="165" fontId="43" fillId="0" borderId="51" xfId="2" applyNumberFormat="1" applyFont="1" applyFill="1" applyBorder="1" applyAlignment="1">
      <alignment horizontal="right" wrapText="1" readingOrder="1"/>
    </xf>
    <xf numFmtId="165" fontId="43" fillId="0" borderId="51" xfId="2" applyNumberFormat="1" applyFont="1" applyFill="1" applyBorder="1" applyAlignment="1">
      <alignment horizontal="right" vertical="top" wrapText="1" readingOrder="1"/>
    </xf>
    <xf numFmtId="165" fontId="49" fillId="0" borderId="51" xfId="2" applyNumberFormat="1" applyFont="1" applyFill="1" applyBorder="1" applyAlignment="1">
      <alignment horizontal="right" vertical="top" wrapText="1" readingOrder="1"/>
    </xf>
    <xf numFmtId="165" fontId="49" fillId="0" borderId="52" xfId="2" applyNumberFormat="1" applyFont="1" applyFill="1" applyBorder="1" applyAlignment="1">
      <alignment horizontal="right" vertical="top" wrapText="1" readingOrder="1"/>
    </xf>
    <xf numFmtId="165" fontId="50" fillId="3" borderId="75" xfId="2" applyNumberFormat="1" applyFont="1" applyFill="1" applyBorder="1" applyAlignment="1">
      <alignment horizontal="right" vertical="center" wrapText="1"/>
    </xf>
    <xf numFmtId="165" fontId="43" fillId="0" borderId="77" xfId="2" applyNumberFormat="1" applyFont="1" applyFill="1" applyBorder="1" applyAlignment="1">
      <alignment horizontal="right" vertical="top" wrapText="1" readingOrder="1"/>
    </xf>
    <xf numFmtId="165" fontId="50" fillId="3" borderId="79" xfId="2" applyNumberFormat="1" applyFont="1" applyFill="1" applyBorder="1" applyAlignment="1">
      <alignment horizontal="right" vertical="center" wrapText="1"/>
    </xf>
    <xf numFmtId="0" fontId="15" fillId="0" borderId="0" xfId="0" applyFont="1" applyAlignment="1">
      <alignment horizontal="left"/>
    </xf>
    <xf numFmtId="0" fontId="43" fillId="0" borderId="0" xfId="0" applyFont="1" applyAlignment="1">
      <alignment horizontal="right"/>
    </xf>
    <xf numFmtId="0" fontId="27" fillId="0" borderId="0" xfId="0" applyFont="1" applyAlignment="1">
      <alignment horizontal="right"/>
    </xf>
    <xf numFmtId="165" fontId="43" fillId="0" borderId="0" xfId="0" applyNumberFormat="1" applyFont="1" applyAlignment="1">
      <alignment horizontal="right" wrapText="1"/>
    </xf>
    <xf numFmtId="165" fontId="27" fillId="0" borderId="0" xfId="0" applyNumberFormat="1" applyFont="1" applyAlignment="1">
      <alignment horizontal="right" wrapText="1"/>
    </xf>
    <xf numFmtId="165" fontId="15" fillId="0" borderId="0" xfId="0" applyNumberFormat="1" applyFont="1" applyAlignment="1">
      <alignment horizontal="right"/>
    </xf>
    <xf numFmtId="165" fontId="27" fillId="0" borderId="0" xfId="0" applyNumberFormat="1" applyFont="1" applyAlignment="1">
      <alignment horizontal="left" wrapText="1"/>
    </xf>
    <xf numFmtId="165" fontId="27" fillId="0" borderId="0" xfId="0" applyNumberFormat="1" applyFont="1" applyAlignment="1">
      <alignment horizontal="right"/>
    </xf>
    <xf numFmtId="0" fontId="27" fillId="0" borderId="0" xfId="0" applyFont="1" applyAlignment="1">
      <alignment horizontal="left"/>
    </xf>
    <xf numFmtId="165" fontId="27" fillId="0" borderId="0" xfId="0" applyNumberFormat="1" applyFont="1" applyAlignment="1">
      <alignment horizontal="left"/>
    </xf>
    <xf numFmtId="165" fontId="33" fillId="0" borderId="0" xfId="0" applyNumberFormat="1" applyFont="1" applyAlignment="1">
      <alignment horizontal="right" wrapText="1"/>
    </xf>
    <xf numFmtId="165" fontId="48" fillId="0" borderId="0" xfId="0" applyNumberFormat="1" applyFont="1" applyAlignment="1">
      <alignment horizontal="right"/>
    </xf>
    <xf numFmtId="165" fontId="48" fillId="0" borderId="0" xfId="0" applyNumberFormat="1" applyFont="1" applyAlignment="1">
      <alignment horizontal="left"/>
    </xf>
    <xf numFmtId="165" fontId="5" fillId="0" borderId="0" xfId="0" applyNumberFormat="1" applyFont="1" applyAlignment="1">
      <alignment horizontal="right"/>
    </xf>
    <xf numFmtId="165" fontId="43" fillId="0" borderId="0" xfId="0" applyNumberFormat="1" applyFont="1" applyAlignment="1">
      <alignment horizontal="right"/>
    </xf>
    <xf numFmtId="165" fontId="15" fillId="4" borderId="0" xfId="0" applyNumberFormat="1" applyFont="1" applyFill="1" applyAlignment="1">
      <alignment horizontal="right"/>
    </xf>
    <xf numFmtId="165" fontId="27" fillId="4" borderId="0" xfId="0" applyNumberFormat="1" applyFont="1" applyFill="1" applyAlignment="1">
      <alignment horizontal="right"/>
    </xf>
    <xf numFmtId="0" fontId="15" fillId="0" borderId="9" xfId="0" applyFont="1" applyBorder="1"/>
    <xf numFmtId="165" fontId="48" fillId="15" borderId="0" xfId="0" applyNumberFormat="1" applyFont="1" applyFill="1" applyAlignment="1">
      <alignment horizontal="right"/>
    </xf>
    <xf numFmtId="165" fontId="27" fillId="0" borderId="80" xfId="0" applyNumberFormat="1" applyFont="1" applyBorder="1" applyAlignment="1">
      <alignment horizontal="right" wrapText="1"/>
    </xf>
    <xf numFmtId="165" fontId="15" fillId="0" borderId="80" xfId="0" applyNumberFormat="1" applyFont="1" applyBorder="1" applyAlignment="1">
      <alignment horizontal="right"/>
    </xf>
    <xf numFmtId="43" fontId="15" fillId="0" borderId="12" xfId="1" applyFont="1" applyBorder="1"/>
    <xf numFmtId="43" fontId="15" fillId="4" borderId="12" xfId="1" applyFont="1" applyFill="1" applyBorder="1"/>
    <xf numFmtId="0" fontId="14" fillId="0" borderId="15" xfId="0" applyFont="1" applyBorder="1"/>
    <xf numFmtId="0" fontId="50" fillId="0" borderId="15" xfId="0" applyFont="1" applyBorder="1" applyAlignment="1">
      <alignment horizontal="right"/>
    </xf>
    <xf numFmtId="165" fontId="14" fillId="0" borderId="15" xfId="0" applyNumberFormat="1" applyFont="1" applyBorder="1" applyAlignment="1">
      <alignment horizontal="right"/>
    </xf>
    <xf numFmtId="0" fontId="14" fillId="0" borderId="15" xfId="0" applyFont="1" applyBorder="1" applyAlignment="1">
      <alignment horizontal="right"/>
    </xf>
    <xf numFmtId="0" fontId="29" fillId="0" borderId="15" xfId="0" applyFont="1" applyBorder="1" applyAlignment="1">
      <alignment horizontal="right"/>
    </xf>
    <xf numFmtId="0" fontId="27" fillId="0" borderId="15" xfId="0" applyFont="1" applyBorder="1" applyAlignment="1">
      <alignment horizontal="left"/>
    </xf>
    <xf numFmtId="0" fontId="15" fillId="0" borderId="15" xfId="0" applyFont="1" applyBorder="1"/>
    <xf numFmtId="165" fontId="30" fillId="8" borderId="82" xfId="2" applyNumberFormat="1" applyFont="1" applyFill="1" applyBorder="1" applyAlignment="1">
      <alignment horizontal="right" vertical="top" wrapText="1" readingOrder="1"/>
    </xf>
    <xf numFmtId="0" fontId="15" fillId="0" borderId="86" xfId="0" applyFont="1" applyBorder="1"/>
    <xf numFmtId="0" fontId="15" fillId="0" borderId="84" xfId="0" applyFont="1" applyBorder="1"/>
    <xf numFmtId="0" fontId="15" fillId="0" borderId="87" xfId="0" applyFont="1" applyBorder="1"/>
    <xf numFmtId="0" fontId="5" fillId="0" borderId="84" xfId="0" applyFont="1" applyBorder="1" applyAlignment="1">
      <alignment horizontal="left" indent="1"/>
    </xf>
    <xf numFmtId="0" fontId="14" fillId="0" borderId="98" xfId="0" applyFont="1" applyBorder="1"/>
    <xf numFmtId="165" fontId="27" fillId="0" borderId="60" xfId="0" applyNumberFormat="1" applyFont="1" applyBorder="1" applyAlignment="1">
      <alignment horizontal="right" wrapText="1"/>
    </xf>
    <xf numFmtId="165" fontId="27" fillId="0" borderId="60" xfId="0" applyNumberFormat="1" applyFont="1" applyBorder="1" applyAlignment="1">
      <alignment horizontal="right"/>
    </xf>
    <xf numFmtId="165" fontId="48" fillId="0" borderId="60" xfId="0" applyNumberFormat="1" applyFont="1" applyBorder="1" applyAlignment="1">
      <alignment horizontal="right"/>
    </xf>
    <xf numFmtId="0" fontId="27" fillId="0" borderId="60" xfId="0" applyFont="1" applyBorder="1" applyAlignment="1">
      <alignment horizontal="right"/>
    </xf>
    <xf numFmtId="0" fontId="27" fillId="0" borderId="90" xfId="0" applyFont="1" applyBorder="1" applyAlignment="1">
      <alignment horizontal="right"/>
    </xf>
    <xf numFmtId="0" fontId="27" fillId="8" borderId="14" xfId="0" applyFont="1" applyFill="1" applyBorder="1" applyAlignment="1">
      <alignment horizontal="right" wrapText="1"/>
    </xf>
    <xf numFmtId="165" fontId="27" fillId="8" borderId="12" xfId="0" applyNumberFormat="1" applyFont="1" applyFill="1" applyBorder="1" applyAlignment="1">
      <alignment horizontal="right" wrapText="1"/>
    </xf>
    <xf numFmtId="0" fontId="15" fillId="8" borderId="0" xfId="0" applyFont="1" applyFill="1"/>
    <xf numFmtId="7" fontId="14" fillId="8" borderId="0" xfId="0" applyNumberFormat="1" applyFont="1" applyFill="1"/>
    <xf numFmtId="0" fontId="27" fillId="8" borderId="32" xfId="0" applyFont="1" applyFill="1" applyBorder="1" applyAlignment="1">
      <alignment horizontal="right" wrapText="1"/>
    </xf>
    <xf numFmtId="167" fontId="27" fillId="8" borderId="30" xfId="0" applyNumberFormat="1" applyFont="1" applyFill="1" applyBorder="1" applyAlignment="1">
      <alignment horizontal="right" wrapText="1"/>
    </xf>
    <xf numFmtId="7" fontId="27" fillId="8" borderId="0" xfId="0" applyNumberFormat="1" applyFont="1" applyFill="1" applyAlignment="1">
      <alignment horizontal="right"/>
    </xf>
    <xf numFmtId="0" fontId="15" fillId="12" borderId="41" xfId="0" applyFont="1" applyFill="1" applyBorder="1" applyAlignment="1">
      <alignment horizontal="right" wrapText="1"/>
    </xf>
    <xf numFmtId="0" fontId="15" fillId="12" borderId="25" xfId="0" applyFont="1" applyFill="1" applyBorder="1" applyAlignment="1">
      <alignment horizontal="right" wrapText="1"/>
    </xf>
    <xf numFmtId="0" fontId="15" fillId="12" borderId="66" xfId="0" applyFont="1" applyFill="1" applyBorder="1" applyAlignment="1">
      <alignment horizontal="right" wrapText="1"/>
    </xf>
    <xf numFmtId="165" fontId="2" fillId="12" borderId="67" xfId="0" applyNumberFormat="1" applyFont="1" applyFill="1" applyBorder="1"/>
    <xf numFmtId="165" fontId="2" fillId="12" borderId="19" xfId="0" applyNumberFormat="1" applyFont="1" applyFill="1" applyBorder="1"/>
    <xf numFmtId="165" fontId="2" fillId="12" borderId="69" xfId="0" applyNumberFormat="1" applyFont="1" applyFill="1" applyBorder="1"/>
    <xf numFmtId="165" fontId="2" fillId="12" borderId="16" xfId="0" applyNumberFormat="1" applyFont="1" applyFill="1" applyBorder="1"/>
    <xf numFmtId="165" fontId="2" fillId="12" borderId="42" xfId="0" applyNumberFormat="1" applyFont="1" applyFill="1" applyBorder="1"/>
    <xf numFmtId="165" fontId="2" fillId="12" borderId="68" xfId="0" applyNumberFormat="1" applyFont="1" applyFill="1" applyBorder="1"/>
    <xf numFmtId="165" fontId="2" fillId="12" borderId="17" xfId="0" applyNumberFormat="1" applyFont="1" applyFill="1" applyBorder="1"/>
    <xf numFmtId="165" fontId="2" fillId="12" borderId="54" xfId="0" applyNumberFormat="1" applyFont="1" applyFill="1" applyBorder="1"/>
    <xf numFmtId="165" fontId="27" fillId="4" borderId="60" xfId="0" applyNumberFormat="1" applyFont="1" applyFill="1" applyBorder="1" applyAlignment="1">
      <alignment horizontal="right"/>
    </xf>
    <xf numFmtId="0" fontId="27" fillId="13" borderId="14" xfId="0" applyFont="1" applyFill="1" applyBorder="1" applyAlignment="1">
      <alignment horizontal="right" wrapText="1"/>
    </xf>
    <xf numFmtId="0" fontId="27" fillId="13" borderId="32" xfId="0" applyFont="1" applyFill="1" applyBorder="1" applyAlignment="1">
      <alignment horizontal="right" wrapText="1"/>
    </xf>
    <xf numFmtId="167" fontId="27" fillId="13" borderId="30" xfId="0" applyNumberFormat="1" applyFont="1" applyFill="1" applyBorder="1" applyAlignment="1">
      <alignment horizontal="right" wrapText="1"/>
    </xf>
    <xf numFmtId="0" fontId="29" fillId="13" borderId="43" xfId="0" applyFont="1" applyFill="1" applyBorder="1" applyAlignment="1">
      <alignment horizontal="right"/>
    </xf>
    <xf numFmtId="165" fontId="27" fillId="13" borderId="12" xfId="0" applyNumberFormat="1" applyFont="1" applyFill="1" applyBorder="1" applyAlignment="1">
      <alignment horizontal="right" wrapText="1"/>
    </xf>
    <xf numFmtId="165" fontId="29" fillId="13" borderId="15" xfId="0" applyNumberFormat="1" applyFont="1" applyFill="1" applyBorder="1" applyAlignment="1">
      <alignment horizontal="right"/>
    </xf>
    <xf numFmtId="165" fontId="29" fillId="8" borderId="36" xfId="0" applyNumberFormat="1" applyFont="1" applyFill="1" applyBorder="1" applyAlignment="1">
      <alignment horizontal="right"/>
    </xf>
    <xf numFmtId="0" fontId="29" fillId="8" borderId="43" xfId="0" applyFont="1" applyFill="1" applyBorder="1" applyAlignment="1">
      <alignment horizontal="right"/>
    </xf>
    <xf numFmtId="0" fontId="29" fillId="0" borderId="44" xfId="0" applyFont="1" applyBorder="1" applyAlignment="1">
      <alignment horizontal="right"/>
    </xf>
    <xf numFmtId="0" fontId="34" fillId="0" borderId="0" xfId="0" applyFont="1" applyAlignment="1">
      <alignment horizontal="left"/>
    </xf>
    <xf numFmtId="165" fontId="49" fillId="0" borderId="77" xfId="2" applyNumberFormat="1" applyFont="1" applyFill="1" applyBorder="1" applyAlignment="1">
      <alignment horizontal="right" vertical="top" wrapText="1" readingOrder="1"/>
    </xf>
    <xf numFmtId="165" fontId="49" fillId="0" borderId="78" xfId="2" applyNumberFormat="1" applyFont="1" applyFill="1" applyBorder="1" applyAlignment="1">
      <alignment horizontal="right" vertical="top" wrapText="1" readingOrder="1"/>
    </xf>
    <xf numFmtId="165" fontId="28" fillId="0" borderId="80" xfId="2" applyNumberFormat="1" applyFont="1" applyFill="1" applyBorder="1" applyAlignment="1">
      <alignment horizontal="right" wrapText="1" readingOrder="1"/>
    </xf>
    <xf numFmtId="165" fontId="30" fillId="0" borderId="80" xfId="2" applyNumberFormat="1" applyFont="1" applyFill="1" applyBorder="1" applyAlignment="1">
      <alignment horizontal="right" vertical="top" wrapText="1" readingOrder="1"/>
    </xf>
    <xf numFmtId="0" fontId="15" fillId="0" borderId="63" xfId="0" applyFont="1" applyBorder="1" applyAlignment="1">
      <alignment horizontal="left" indent="1"/>
    </xf>
    <xf numFmtId="0" fontId="15" fillId="0" borderId="63" xfId="0" applyFont="1" applyBorder="1" applyAlignment="1">
      <alignment horizontal="left"/>
    </xf>
    <xf numFmtId="0" fontId="15" fillId="3" borderId="100" xfId="0" applyFont="1" applyFill="1" applyBorder="1" applyAlignment="1">
      <alignment horizontal="left"/>
    </xf>
    <xf numFmtId="165" fontId="43" fillId="0" borderId="80" xfId="2" applyNumberFormat="1" applyFont="1" applyFill="1" applyBorder="1" applyAlignment="1">
      <alignment horizontal="right" vertical="top" wrapText="1" readingOrder="1"/>
    </xf>
    <xf numFmtId="165" fontId="49" fillId="0" borderId="97" xfId="2" applyNumberFormat="1" applyFont="1" applyFill="1" applyBorder="1" applyAlignment="1">
      <alignment horizontal="right" vertical="top" wrapText="1" readingOrder="1"/>
    </xf>
    <xf numFmtId="165" fontId="49" fillId="0" borderId="71" xfId="2" applyNumberFormat="1" applyFont="1" applyFill="1" applyBorder="1" applyAlignment="1">
      <alignment horizontal="right" vertical="top" wrapText="1" readingOrder="1"/>
    </xf>
    <xf numFmtId="165" fontId="50" fillId="3" borderId="81" xfId="2" applyNumberFormat="1" applyFont="1" applyFill="1" applyBorder="1" applyAlignment="1">
      <alignment horizontal="right" vertical="center" wrapText="1"/>
    </xf>
    <xf numFmtId="0" fontId="24" fillId="0" borderId="84" xfId="0" applyFont="1" applyBorder="1"/>
    <xf numFmtId="0" fontId="55" fillId="0" borderId="0" xfId="0" applyFont="1"/>
    <xf numFmtId="174" fontId="0" fillId="0" borderId="0" xfId="0" applyNumberFormat="1"/>
    <xf numFmtId="173" fontId="0" fillId="0" borderId="0" xfId="0" applyNumberFormat="1"/>
    <xf numFmtId="0" fontId="57" fillId="0" borderId="0" xfId="0" applyFont="1"/>
    <xf numFmtId="2" fontId="57" fillId="0" borderId="0" xfId="0" applyNumberFormat="1" applyFont="1"/>
    <xf numFmtId="0" fontId="58" fillId="0" borderId="0" xfId="0" applyFont="1"/>
    <xf numFmtId="173" fontId="58" fillId="0" borderId="0" xfId="0" applyNumberFormat="1" applyFont="1"/>
    <xf numFmtId="173" fontId="58" fillId="4" borderId="0" xfId="0" applyNumberFormat="1" applyFont="1" applyFill="1"/>
    <xf numFmtId="173" fontId="0" fillId="4" borderId="0" xfId="0" applyNumberFormat="1" applyFill="1"/>
    <xf numFmtId="0" fontId="0" fillId="0" borderId="3" xfId="0" applyBorder="1"/>
    <xf numFmtId="173" fontId="0" fillId="0" borderId="3" xfId="0" applyNumberFormat="1" applyBorder="1"/>
    <xf numFmtId="173" fontId="0" fillId="4" borderId="3" xfId="0" applyNumberFormat="1" applyFill="1" applyBorder="1"/>
    <xf numFmtId="2" fontId="57" fillId="0" borderId="0" xfId="0" applyNumberFormat="1" applyFont="1" applyAlignment="1">
      <alignment horizontal="right"/>
    </xf>
    <xf numFmtId="43" fontId="57" fillId="0" borderId="3" xfId="0" applyNumberFormat="1" applyFont="1" applyBorder="1" applyAlignment="1">
      <alignment horizontal="right"/>
    </xf>
    <xf numFmtId="0" fontId="55" fillId="0" borderId="56" xfId="0" applyFont="1" applyBorder="1"/>
    <xf numFmtId="173" fontId="59" fillId="0" borderId="56" xfId="0" applyNumberFormat="1" applyFont="1" applyBorder="1"/>
    <xf numFmtId="0" fontId="2" fillId="4" borderId="10" xfId="0" applyFont="1" applyFill="1" applyBorder="1" applyAlignment="1">
      <alignment horizontal="right"/>
    </xf>
    <xf numFmtId="173" fontId="59" fillId="4" borderId="56" xfId="0" applyNumberFormat="1" applyFont="1" applyFill="1" applyBorder="1"/>
    <xf numFmtId="43" fontId="60" fillId="0" borderId="12" xfId="1" applyFont="1" applyBorder="1"/>
    <xf numFmtId="0" fontId="56" fillId="0" borderId="0" xfId="0" applyFont="1"/>
    <xf numFmtId="0" fontId="61" fillId="0" borderId="0" xfId="0" applyFont="1"/>
    <xf numFmtId="0" fontId="63" fillId="0" borderId="0" xfId="0" applyFont="1"/>
    <xf numFmtId="2" fontId="63" fillId="0" borderId="0" xfId="0" applyNumberFormat="1" applyFont="1"/>
    <xf numFmtId="173" fontId="64" fillId="0" borderId="0" xfId="0" applyNumberFormat="1" applyFont="1"/>
    <xf numFmtId="174" fontId="64" fillId="0" borderId="0" xfId="0" applyNumberFormat="1" applyFont="1"/>
    <xf numFmtId="0" fontId="64" fillId="0" borderId="0" xfId="0" applyFont="1"/>
    <xf numFmtId="173" fontId="65" fillId="0" borderId="0" xfId="0" applyNumberFormat="1" applyFont="1"/>
    <xf numFmtId="0" fontId="64" fillId="0" borderId="0" xfId="0" applyFont="1" applyAlignment="1">
      <alignment horizontal="left" indent="1"/>
    </xf>
    <xf numFmtId="173" fontId="64" fillId="4" borderId="0" xfId="0" applyNumberFormat="1" applyFont="1" applyFill="1"/>
    <xf numFmtId="173" fontId="65" fillId="4" borderId="0" xfId="0" applyNumberFormat="1" applyFont="1" applyFill="1"/>
    <xf numFmtId="0" fontId="64" fillId="4" borderId="0" xfId="0" applyFont="1" applyFill="1" applyAlignment="1">
      <alignment horizontal="left" indent="1"/>
    </xf>
    <xf numFmtId="173" fontId="61" fillId="0" borderId="0" xfId="0" applyNumberFormat="1" applyFont="1"/>
    <xf numFmtId="173" fontId="66" fillId="0" borderId="0" xfId="0" applyNumberFormat="1" applyFont="1"/>
    <xf numFmtId="0" fontId="63" fillId="0" borderId="0" xfId="0" applyFont="1" applyAlignment="1">
      <alignment horizontal="left" vertical="center" indent="1" readingOrder="1"/>
    </xf>
    <xf numFmtId="0" fontId="63" fillId="0" borderId="0" xfId="0" applyFont="1" applyAlignment="1">
      <alignment horizontal="left" indent="1"/>
    </xf>
    <xf numFmtId="0" fontId="70" fillId="0" borderId="0" xfId="0" applyFont="1"/>
    <xf numFmtId="0" fontId="70" fillId="4" borderId="0" xfId="0" applyFont="1" applyFill="1"/>
    <xf numFmtId="170" fontId="72" fillId="0" borderId="88" xfId="1" applyNumberFormat="1" applyFont="1" applyBorder="1" applyAlignment="1">
      <alignment vertical="top"/>
    </xf>
    <xf numFmtId="165" fontId="24" fillId="0" borderId="88" xfId="0" applyNumberFormat="1" applyFont="1" applyBorder="1" applyAlignment="1">
      <alignment vertical="top"/>
    </xf>
    <xf numFmtId="165" fontId="27" fillId="4" borderId="12" xfId="0" applyNumberFormat="1" applyFont="1" applyFill="1" applyBorder="1" applyAlignment="1">
      <alignment horizontal="right" wrapText="1"/>
    </xf>
    <xf numFmtId="0" fontId="73" fillId="0" borderId="0" xfId="0" applyFont="1"/>
    <xf numFmtId="0" fontId="0" fillId="0" borderId="10" xfId="0" applyBorder="1"/>
    <xf numFmtId="0" fontId="0" fillId="0" borderId="0" xfId="0" applyAlignment="1">
      <alignment horizontal="left" vertical="center" indent="1"/>
    </xf>
    <xf numFmtId="165" fontId="24" fillId="0" borderId="80" xfId="0" applyNumberFormat="1" applyFont="1" applyBorder="1" applyAlignment="1">
      <alignment horizontal="right" wrapText="1"/>
    </xf>
    <xf numFmtId="0" fontId="0" fillId="0" borderId="0" xfId="0" applyAlignment="1">
      <alignment horizontal="left" indent="2"/>
    </xf>
    <xf numFmtId="0" fontId="74" fillId="0" borderId="10" xfId="0" applyFont="1" applyBorder="1"/>
    <xf numFmtId="7" fontId="15" fillId="0" borderId="0" xfId="0" applyNumberFormat="1" applyFont="1"/>
    <xf numFmtId="0" fontId="76" fillId="0" borderId="0" xfId="3" applyFont="1"/>
    <xf numFmtId="0" fontId="77" fillId="0" borderId="0" xfId="3" applyFont="1"/>
    <xf numFmtId="0" fontId="77" fillId="0" borderId="0" xfId="3" applyFont="1" applyAlignment="1">
      <alignment horizontal="center"/>
    </xf>
    <xf numFmtId="0" fontId="27" fillId="0" borderId="103" xfId="3" applyFont="1" applyBorder="1"/>
    <xf numFmtId="0" fontId="27" fillId="0" borderId="105" xfId="3" applyFont="1" applyBorder="1"/>
    <xf numFmtId="0" fontId="27" fillId="0" borderId="108" xfId="3" applyFont="1" applyBorder="1" applyAlignment="1">
      <alignment horizontal="right" wrapText="1"/>
    </xf>
    <xf numFmtId="0" fontId="29" fillId="0" borderId="14" xfId="3" applyFont="1" applyBorder="1" applyAlignment="1">
      <alignment horizontal="right" wrapText="1"/>
    </xf>
    <xf numFmtId="0" fontId="29" fillId="0" borderId="109" xfId="3" applyFont="1" applyBorder="1" applyAlignment="1">
      <alignment horizontal="right" wrapText="1"/>
    </xf>
    <xf numFmtId="0" fontId="27" fillId="0" borderId="105" xfId="3" applyFont="1" applyBorder="1" applyAlignment="1">
      <alignment vertical="top"/>
    </xf>
    <xf numFmtId="165" fontId="27" fillId="0" borderId="105" xfId="3" applyNumberFormat="1" applyFont="1" applyBorder="1" applyAlignment="1">
      <alignment horizontal="right" vertical="top"/>
    </xf>
    <xf numFmtId="165" fontId="27" fillId="0" borderId="0" xfId="3" applyNumberFormat="1" applyFont="1" applyAlignment="1">
      <alignment horizontal="right" vertical="top"/>
    </xf>
    <xf numFmtId="165" fontId="27" fillId="0" borderId="12" xfId="3" applyNumberFormat="1" applyFont="1" applyBorder="1" applyAlignment="1">
      <alignment horizontal="right" vertical="top"/>
    </xf>
    <xf numFmtId="167" fontId="27" fillId="0" borderId="110" xfId="3" applyNumberFormat="1" applyFont="1" applyBorder="1" applyAlignment="1">
      <alignment horizontal="right" vertical="top"/>
    </xf>
    <xf numFmtId="166" fontId="27" fillId="0" borderId="105" xfId="3" applyNumberFormat="1" applyFont="1" applyBorder="1" applyAlignment="1">
      <alignment horizontal="right" vertical="top"/>
    </xf>
    <xf numFmtId="166" fontId="27" fillId="0" borderId="0" xfId="3" applyNumberFormat="1" applyFont="1" applyAlignment="1">
      <alignment horizontal="right" vertical="top"/>
    </xf>
    <xf numFmtId="0" fontId="27" fillId="0" borderId="108" xfId="3" applyFont="1" applyBorder="1" applyAlignment="1">
      <alignment vertical="top"/>
    </xf>
    <xf numFmtId="166" fontId="27" fillId="0" borderId="108" xfId="3" applyNumberFormat="1" applyFont="1" applyBorder="1" applyAlignment="1">
      <alignment horizontal="right" vertical="top"/>
    </xf>
    <xf numFmtId="166" fontId="27" fillId="0" borderId="10" xfId="3" applyNumberFormat="1" applyFont="1" applyBorder="1" applyAlignment="1">
      <alignment horizontal="right" vertical="top"/>
    </xf>
    <xf numFmtId="165" fontId="27" fillId="0" borderId="14" xfId="3" applyNumberFormat="1" applyFont="1" applyBorder="1" applyAlignment="1">
      <alignment horizontal="right" vertical="top"/>
    </xf>
    <xf numFmtId="0" fontId="29" fillId="0" borderId="105" xfId="3" applyFont="1" applyBorder="1" applyAlignment="1">
      <alignment vertical="top"/>
    </xf>
    <xf numFmtId="165" fontId="29" fillId="0" borderId="106" xfId="3" applyNumberFormat="1" applyFont="1" applyBorder="1" applyAlignment="1">
      <alignment horizontal="right" vertical="top"/>
    </xf>
    <xf numFmtId="165" fontId="29" fillId="4" borderId="0" xfId="3" applyNumberFormat="1" applyFont="1" applyFill="1" applyAlignment="1">
      <alignment horizontal="right" vertical="top"/>
    </xf>
    <xf numFmtId="165" fontId="29" fillId="0" borderId="0" xfId="3" applyNumberFormat="1" applyFont="1" applyAlignment="1">
      <alignment horizontal="right" vertical="top"/>
    </xf>
    <xf numFmtId="167" fontId="29" fillId="0" borderId="111" xfId="3" applyNumberFormat="1" applyFont="1" applyBorder="1" applyAlignment="1">
      <alignment horizontal="right" vertical="top"/>
    </xf>
    <xf numFmtId="0" fontId="29" fillId="0" borderId="108" xfId="3" applyFont="1" applyBorder="1" applyAlignment="1">
      <alignment vertical="top"/>
    </xf>
    <xf numFmtId="165" fontId="29" fillId="0" borderId="108" xfId="3" applyNumberFormat="1" applyFont="1" applyBorder="1" applyAlignment="1">
      <alignment horizontal="right" vertical="top"/>
    </xf>
    <xf numFmtId="165" fontId="29" fillId="0" borderId="10" xfId="3" applyNumberFormat="1" applyFont="1" applyBorder="1" applyAlignment="1">
      <alignment horizontal="right" vertical="top"/>
    </xf>
    <xf numFmtId="165" fontId="29" fillId="0" borderId="14" xfId="3" applyNumberFormat="1" applyFont="1" applyBorder="1" applyAlignment="1">
      <alignment horizontal="right" vertical="top"/>
    </xf>
    <xf numFmtId="167" fontId="29" fillId="0" borderId="109" xfId="3" applyNumberFormat="1" applyFont="1" applyBorder="1" applyAlignment="1">
      <alignment horizontal="right" vertical="top"/>
    </xf>
    <xf numFmtId="0" fontId="29" fillId="0" borderId="112" xfId="3" applyFont="1" applyBorder="1" applyAlignment="1">
      <alignment vertical="top"/>
    </xf>
    <xf numFmtId="165" fontId="29" fillId="0" borderId="112" xfId="3" applyNumberFormat="1" applyFont="1" applyBorder="1" applyAlignment="1">
      <alignment horizontal="right" vertical="top"/>
    </xf>
    <xf numFmtId="165" fontId="29" fillId="0" borderId="102" xfId="3" applyNumberFormat="1" applyFont="1" applyBorder="1" applyAlignment="1">
      <alignment horizontal="right" vertical="top"/>
    </xf>
    <xf numFmtId="165" fontId="29" fillId="0" borderId="113" xfId="3" applyNumberFormat="1" applyFont="1" applyBorder="1" applyAlignment="1">
      <alignment horizontal="right" vertical="top"/>
    </xf>
    <xf numFmtId="167" fontId="29" fillId="0" borderId="114" xfId="3" applyNumberFormat="1" applyFont="1" applyBorder="1" applyAlignment="1">
      <alignment horizontal="right" vertical="top"/>
    </xf>
    <xf numFmtId="0" fontId="16" fillId="0" borderId="0" xfId="3" applyFont="1" applyAlignment="1">
      <alignment horizontal="left"/>
    </xf>
    <xf numFmtId="0" fontId="77" fillId="0" borderId="0" xfId="3" applyFont="1" applyAlignment="1">
      <alignment horizontal="left" vertical="top" wrapText="1"/>
    </xf>
    <xf numFmtId="0" fontId="77" fillId="0" borderId="0" xfId="3" applyFont="1" applyAlignment="1">
      <alignment horizontal="right" wrapText="1"/>
    </xf>
    <xf numFmtId="165" fontId="29" fillId="0" borderId="12" xfId="3" applyNumberFormat="1" applyFont="1" applyBorder="1" applyAlignment="1">
      <alignment horizontal="right" vertical="top"/>
    </xf>
    <xf numFmtId="0" fontId="19" fillId="0" borderId="56" xfId="3" applyFont="1" applyBorder="1" applyAlignment="1">
      <alignment horizontal="left"/>
    </xf>
    <xf numFmtId="0" fontId="78" fillId="0" borderId="56" xfId="3" applyFont="1" applyBorder="1"/>
    <xf numFmtId="0" fontId="19" fillId="0" borderId="116" xfId="3" applyFont="1" applyBorder="1" applyAlignment="1">
      <alignment horizontal="left"/>
    </xf>
    <xf numFmtId="0" fontId="78" fillId="0" borderId="0" xfId="3" applyFont="1"/>
    <xf numFmtId="0" fontId="16" fillId="0" borderId="56" xfId="3" applyFont="1" applyBorder="1" applyAlignment="1">
      <alignment horizontal="left"/>
    </xf>
    <xf numFmtId="0" fontId="16" fillId="0" borderId="116" xfId="3" applyFont="1" applyBorder="1" applyAlignment="1">
      <alignment horizontal="left"/>
    </xf>
    <xf numFmtId="0" fontId="19" fillId="0" borderId="0" xfId="3" applyFont="1" applyAlignment="1">
      <alignment horizontal="left"/>
    </xf>
    <xf numFmtId="0" fontId="16" fillId="0" borderId="0" xfId="3" applyFont="1"/>
    <xf numFmtId="0" fontId="27" fillId="0" borderId="0" xfId="3" applyFont="1"/>
    <xf numFmtId="166" fontId="27" fillId="4" borderId="0" xfId="3" applyNumberFormat="1" applyFont="1" applyFill="1" applyAlignment="1">
      <alignment horizontal="right" vertical="top"/>
    </xf>
    <xf numFmtId="2" fontId="19" fillId="0" borderId="0" xfId="3" quotePrefix="1" applyNumberFormat="1" applyFont="1" applyAlignment="1">
      <alignment horizontal="right"/>
    </xf>
    <xf numFmtId="0" fontId="32" fillId="0" borderId="55" xfId="3" applyFont="1" applyBorder="1" applyAlignment="1">
      <alignment horizontal="left"/>
    </xf>
    <xf numFmtId="0" fontId="79" fillId="0" borderId="56" xfId="3" applyFont="1" applyBorder="1"/>
    <xf numFmtId="0" fontId="32" fillId="0" borderId="56" xfId="3" applyFont="1" applyBorder="1" applyAlignment="1">
      <alignment horizontal="left"/>
    </xf>
    <xf numFmtId="0" fontId="17" fillId="0" borderId="56" xfId="3" applyFont="1" applyBorder="1" applyAlignment="1">
      <alignment horizontal="left"/>
    </xf>
    <xf numFmtId="2" fontId="32" fillId="0" borderId="56" xfId="3" quotePrefix="1" applyNumberFormat="1" applyFont="1" applyBorder="1" applyAlignment="1">
      <alignment horizontal="right"/>
    </xf>
    <xf numFmtId="0" fontId="80" fillId="0" borderId="0" xfId="3" applyFont="1" applyAlignment="1">
      <alignment horizontal="left"/>
    </xf>
    <xf numFmtId="0" fontId="55" fillId="0" borderId="10" xfId="0" applyFont="1" applyBorder="1"/>
    <xf numFmtId="0" fontId="0" fillId="4" borderId="0" xfId="0" applyFill="1"/>
    <xf numFmtId="7" fontId="77" fillId="0" borderId="0" xfId="3" applyNumberFormat="1" applyFont="1"/>
    <xf numFmtId="166" fontId="5" fillId="0" borderId="0" xfId="0" applyNumberFormat="1" applyFont="1"/>
    <xf numFmtId="0" fontId="14" fillId="0" borderId="40" xfId="0" applyFont="1" applyBorder="1" applyAlignment="1">
      <alignment horizontal="left" vertical="top"/>
    </xf>
    <xf numFmtId="0" fontId="15" fillId="0" borderId="0" xfId="0" applyFont="1" applyAlignment="1">
      <alignment horizontal="left" indent="1"/>
    </xf>
    <xf numFmtId="0" fontId="27" fillId="10" borderId="40" xfId="4" applyFont="1" applyFill="1" applyBorder="1" applyAlignment="1">
      <alignment horizontal="left" vertical="top" wrapText="1" indent="1"/>
    </xf>
    <xf numFmtId="165" fontId="43" fillId="10" borderId="80" xfId="2" applyNumberFormat="1" applyFont="1" applyFill="1" applyBorder="1" applyAlignment="1">
      <alignment horizontal="right" vertical="top" wrapText="1" readingOrder="1"/>
    </xf>
    <xf numFmtId="165" fontId="28" fillId="10" borderId="80" xfId="2" applyNumberFormat="1" applyFont="1" applyFill="1" applyBorder="1" applyAlignment="1">
      <alignment horizontal="right" vertical="top" wrapText="1" readingOrder="1"/>
    </xf>
    <xf numFmtId="165" fontId="43" fillId="10" borderId="77" xfId="2" applyNumberFormat="1" applyFont="1" applyFill="1" applyBorder="1" applyAlignment="1">
      <alignment horizontal="right" vertical="top" wrapText="1" readingOrder="1"/>
    </xf>
    <xf numFmtId="165" fontId="43" fillId="10" borderId="51" xfId="2" applyNumberFormat="1" applyFont="1" applyFill="1" applyBorder="1" applyAlignment="1">
      <alignment horizontal="right" vertical="top" wrapText="1" readingOrder="1"/>
    </xf>
    <xf numFmtId="165" fontId="28" fillId="10" borderId="40" xfId="2" applyNumberFormat="1" applyFont="1" applyFill="1" applyBorder="1" applyAlignment="1">
      <alignment horizontal="right" vertical="top" wrapText="1" readingOrder="1"/>
    </xf>
    <xf numFmtId="167" fontId="15" fillId="10" borderId="63" xfId="0" applyNumberFormat="1" applyFont="1" applyFill="1" applyBorder="1" applyAlignment="1">
      <alignment horizontal="right"/>
    </xf>
    <xf numFmtId="0" fontId="15" fillId="10" borderId="63" xfId="0" applyFont="1" applyFill="1" applyBorder="1" applyAlignment="1">
      <alignment horizontal="left" indent="1"/>
    </xf>
    <xf numFmtId="0" fontId="27" fillId="10" borderId="41" xfId="4" applyFont="1" applyFill="1" applyBorder="1" applyAlignment="1">
      <alignment horizontal="left" vertical="top" wrapText="1" indent="1"/>
    </xf>
    <xf numFmtId="165" fontId="43" fillId="10" borderId="71" xfId="2" applyNumberFormat="1" applyFont="1" applyFill="1" applyBorder="1" applyAlignment="1">
      <alignment horizontal="right" vertical="top" wrapText="1" readingOrder="1"/>
    </xf>
    <xf numFmtId="165" fontId="28" fillId="10" borderId="71" xfId="2" applyNumberFormat="1" applyFont="1" applyFill="1" applyBorder="1" applyAlignment="1">
      <alignment horizontal="right" vertical="top" wrapText="1" readingOrder="1"/>
    </xf>
    <xf numFmtId="165" fontId="43" fillId="10" borderId="78" xfId="2" applyNumberFormat="1" applyFont="1" applyFill="1" applyBorder="1" applyAlignment="1">
      <alignment horizontal="right" vertical="top" wrapText="1" readingOrder="1"/>
    </xf>
    <xf numFmtId="165" fontId="43" fillId="10" borderId="52" xfId="2" applyNumberFormat="1" applyFont="1" applyFill="1" applyBorder="1" applyAlignment="1">
      <alignment horizontal="right" vertical="top" wrapText="1" readingOrder="1"/>
    </xf>
    <xf numFmtId="165" fontId="28" fillId="10" borderId="41" xfId="2" applyNumberFormat="1" applyFont="1" applyFill="1" applyBorder="1" applyAlignment="1">
      <alignment horizontal="right" vertical="top" wrapText="1" readingOrder="1"/>
    </xf>
    <xf numFmtId="167" fontId="15" fillId="10" borderId="65" xfId="0" applyNumberFormat="1" applyFont="1" applyFill="1" applyBorder="1" applyAlignment="1">
      <alignment horizontal="right"/>
    </xf>
    <xf numFmtId="0" fontId="15" fillId="10" borderId="65" xfId="0" applyFont="1" applyFill="1" applyBorder="1" applyAlignment="1">
      <alignment horizontal="left" indent="1"/>
    </xf>
    <xf numFmtId="165" fontId="27" fillId="8" borderId="0" xfId="0" applyNumberFormat="1" applyFont="1" applyFill="1" applyAlignment="1">
      <alignment horizontal="right"/>
    </xf>
    <xf numFmtId="165" fontId="24" fillId="3" borderId="80" xfId="2" applyNumberFormat="1" applyFont="1" applyFill="1" applyBorder="1" applyAlignment="1">
      <alignment horizontal="right" wrapText="1" readingOrder="1"/>
    </xf>
    <xf numFmtId="165" fontId="82" fillId="0" borderId="71" xfId="2" applyNumberFormat="1" applyFont="1" applyFill="1" applyBorder="1" applyAlignment="1">
      <alignment horizontal="right" vertical="top" wrapText="1" readingOrder="1"/>
    </xf>
    <xf numFmtId="0" fontId="24" fillId="0" borderId="0" xfId="0" applyFont="1" applyAlignment="1">
      <alignment horizontal="center" wrapText="1"/>
    </xf>
    <xf numFmtId="0" fontId="15" fillId="0" borderId="0" xfId="0" applyFont="1" applyAlignment="1">
      <alignment vertical="center"/>
    </xf>
    <xf numFmtId="0" fontId="14" fillId="2" borderId="8" xfId="0" applyFont="1" applyFill="1" applyBorder="1" applyAlignment="1">
      <alignment horizontal="left"/>
    </xf>
    <xf numFmtId="0" fontId="14" fillId="2" borderId="8" xfId="0" applyFont="1" applyFill="1" applyBorder="1" applyAlignment="1">
      <alignment horizontal="right"/>
    </xf>
    <xf numFmtId="0" fontId="15" fillId="0" borderId="18" xfId="0" applyFont="1" applyBorder="1" applyAlignment="1">
      <alignment horizontal="left"/>
    </xf>
    <xf numFmtId="165" fontId="15" fillId="0" borderId="19" xfId="0" applyNumberFormat="1" applyFont="1" applyBorder="1" applyAlignment="1">
      <alignment horizontal="right"/>
    </xf>
    <xf numFmtId="0" fontId="81" fillId="0" borderId="1" xfId="0" applyFont="1" applyBorder="1" applyAlignment="1">
      <alignment horizontal="left" indent="1"/>
    </xf>
    <xf numFmtId="166" fontId="81" fillId="0" borderId="16" xfId="0" applyNumberFormat="1" applyFont="1" applyBorder="1" applyAlignment="1">
      <alignment horizontal="right"/>
    </xf>
    <xf numFmtId="0" fontId="81" fillId="0" borderId="10" xfId="0" applyFont="1" applyBorder="1" applyAlignment="1">
      <alignment horizontal="left" indent="1"/>
    </xf>
    <xf numFmtId="166" fontId="81" fillId="0" borderId="14" xfId="0" applyNumberFormat="1" applyFont="1" applyBorder="1" applyAlignment="1">
      <alignment horizontal="right"/>
    </xf>
    <xf numFmtId="166" fontId="81" fillId="0" borderId="120" xfId="0" applyNumberFormat="1" applyFont="1" applyBorder="1" applyAlignment="1">
      <alignment horizontal="right"/>
    </xf>
    <xf numFmtId="0" fontId="15" fillId="0" borderId="26" xfId="0" applyFont="1" applyBorder="1" applyAlignment="1">
      <alignment horizontal="left"/>
    </xf>
    <xf numFmtId="165" fontId="15" fillId="0" borderId="25" xfId="0" applyNumberFormat="1" applyFont="1" applyBorder="1" applyAlignment="1">
      <alignment horizontal="right"/>
    </xf>
    <xf numFmtId="165" fontId="15" fillId="0" borderId="16" xfId="0" applyNumberFormat="1" applyFont="1" applyBorder="1" applyAlignment="1">
      <alignment horizontal="right"/>
    </xf>
    <xf numFmtId="0" fontId="81" fillId="0" borderId="119" xfId="0" applyFont="1" applyBorder="1" applyAlignment="1">
      <alignment horizontal="left" indent="1"/>
    </xf>
    <xf numFmtId="0" fontId="72" fillId="0" borderId="18" xfId="0" applyFont="1" applyBorder="1" applyAlignment="1">
      <alignment horizontal="left"/>
    </xf>
    <xf numFmtId="165" fontId="72" fillId="0" borderId="19" xfId="0" applyNumberFormat="1" applyFont="1" applyBorder="1" applyAlignment="1">
      <alignment horizontal="right"/>
    </xf>
    <xf numFmtId="0" fontId="14" fillId="2" borderId="3" xfId="0" applyFont="1" applyFill="1" applyBorder="1"/>
    <xf numFmtId="165" fontId="14" fillId="2" borderId="17" xfId="0" applyNumberFormat="1" applyFont="1" applyFill="1" applyBorder="1" applyAlignment="1">
      <alignment horizontal="right"/>
    </xf>
    <xf numFmtId="7" fontId="15" fillId="0" borderId="0" xfId="0" applyNumberFormat="1" applyFont="1" applyAlignment="1">
      <alignment horizontal="right"/>
    </xf>
    <xf numFmtId="0" fontId="15" fillId="12" borderId="122" xfId="0" applyFont="1" applyFill="1" applyBorder="1" applyAlignment="1">
      <alignment horizontal="right" wrapText="1"/>
    </xf>
    <xf numFmtId="0" fontId="15" fillId="12" borderId="123" xfId="0" applyFont="1" applyFill="1" applyBorder="1" applyAlignment="1">
      <alignment horizontal="right" wrapText="1"/>
    </xf>
    <xf numFmtId="0" fontId="15" fillId="17" borderId="124" xfId="0" applyFont="1" applyFill="1" applyBorder="1" applyAlignment="1">
      <alignment horizontal="right" wrapText="1"/>
    </xf>
    <xf numFmtId="0" fontId="15" fillId="10" borderId="125" xfId="0" applyFont="1" applyFill="1" applyBorder="1" applyAlignment="1">
      <alignment horizontal="right" wrapText="1"/>
    </xf>
    <xf numFmtId="0" fontId="15" fillId="0" borderId="9" xfId="0" applyFont="1" applyBorder="1" applyAlignment="1">
      <alignment vertical="center"/>
    </xf>
    <xf numFmtId="0" fontId="15" fillId="0" borderId="101" xfId="0" applyFont="1" applyBorder="1" applyAlignment="1">
      <alignment vertical="center"/>
    </xf>
    <xf numFmtId="173" fontId="15" fillId="0" borderId="101" xfId="0" applyNumberFormat="1" applyFont="1" applyBorder="1" applyAlignment="1">
      <alignment vertical="top"/>
    </xf>
    <xf numFmtId="165" fontId="15" fillId="12" borderId="117" xfId="0" applyNumberFormat="1" applyFont="1" applyFill="1" applyBorder="1"/>
    <xf numFmtId="165" fontId="15" fillId="17" borderId="121" xfId="0" applyNumberFormat="1" applyFont="1" applyFill="1" applyBorder="1"/>
    <xf numFmtId="0" fontId="15" fillId="0" borderId="10" xfId="0" applyFont="1" applyBorder="1" applyAlignment="1">
      <alignment vertical="center"/>
    </xf>
    <xf numFmtId="0" fontId="15" fillId="0" borderId="65" xfId="0" applyFont="1" applyBorder="1" applyAlignment="1">
      <alignment vertical="center"/>
    </xf>
    <xf numFmtId="4" fontId="15" fillId="0" borderId="65" xfId="0" applyNumberFormat="1" applyFont="1" applyBorder="1" applyAlignment="1">
      <alignment vertical="top"/>
    </xf>
    <xf numFmtId="166" fontId="15" fillId="12" borderId="127" xfId="0" applyNumberFormat="1" applyFont="1" applyFill="1" applyBorder="1"/>
    <xf numFmtId="166" fontId="15" fillId="12" borderId="32" xfId="0" applyNumberFormat="1" applyFont="1" applyFill="1" applyBorder="1"/>
    <xf numFmtId="166" fontId="15" fillId="17" borderId="128" xfId="0" applyNumberFormat="1" applyFont="1" applyFill="1" applyBorder="1"/>
    <xf numFmtId="0" fontId="15" fillId="0" borderId="26" xfId="0" applyFont="1" applyBorder="1" applyAlignment="1">
      <alignment vertical="center"/>
    </xf>
    <xf numFmtId="0" fontId="15" fillId="0" borderId="83" xfId="0" applyFont="1" applyBorder="1" applyAlignment="1">
      <alignment vertical="center"/>
    </xf>
    <xf numFmtId="4" fontId="15" fillId="0" borderId="83" xfId="0" applyNumberFormat="1" applyFont="1" applyBorder="1" applyAlignment="1">
      <alignment vertical="top"/>
    </xf>
    <xf numFmtId="166" fontId="15" fillId="12" borderId="129" xfId="0" applyNumberFormat="1" applyFont="1" applyFill="1" applyBorder="1"/>
    <xf numFmtId="166" fontId="15" fillId="12" borderId="31" xfId="0" applyNumberFormat="1" applyFont="1" applyFill="1" applyBorder="1"/>
    <xf numFmtId="166" fontId="15" fillId="17" borderId="66" xfId="0" applyNumberFormat="1" applyFont="1" applyFill="1" applyBorder="1"/>
    <xf numFmtId="166" fontId="15" fillId="10" borderId="129" xfId="0" applyNumberFormat="1" applyFont="1" applyFill="1" applyBorder="1" applyAlignment="1">
      <alignment horizontal="right"/>
    </xf>
    <xf numFmtId="0" fontId="15" fillId="0" borderId="26" xfId="0" applyFont="1" applyBorder="1" applyAlignment="1">
      <alignment vertical="top"/>
    </xf>
    <xf numFmtId="0" fontId="15" fillId="0" borderId="83" xfId="0" applyFont="1" applyBorder="1" applyAlignment="1">
      <alignment vertical="top"/>
    </xf>
    <xf numFmtId="166" fontId="15" fillId="12" borderId="27" xfId="0" applyNumberFormat="1" applyFont="1" applyFill="1" applyBorder="1" applyAlignment="1">
      <alignment vertical="top"/>
    </xf>
    <xf numFmtId="166" fontId="15" fillId="17" borderId="66" xfId="0" applyNumberFormat="1" applyFont="1" applyFill="1" applyBorder="1" applyAlignment="1">
      <alignment vertical="top"/>
    </xf>
    <xf numFmtId="166" fontId="15" fillId="10" borderId="129" xfId="0" applyNumberFormat="1" applyFont="1" applyFill="1" applyBorder="1" applyAlignment="1">
      <alignment horizontal="right" vertical="top"/>
    </xf>
    <xf numFmtId="0" fontId="15" fillId="0" borderId="28" xfId="0" applyFont="1" applyBorder="1" applyAlignment="1">
      <alignment vertical="center"/>
    </xf>
    <xf numFmtId="0" fontId="15" fillId="0" borderId="130" xfId="0" applyFont="1" applyBorder="1" applyAlignment="1">
      <alignment vertical="center"/>
    </xf>
    <xf numFmtId="4" fontId="15" fillId="0" borderId="130" xfId="0" applyNumberFormat="1" applyFont="1" applyBorder="1" applyAlignment="1">
      <alignment vertical="top"/>
    </xf>
    <xf numFmtId="166" fontId="15" fillId="12" borderId="131" xfId="0" applyNumberFormat="1" applyFont="1" applyFill="1" applyBorder="1"/>
    <xf numFmtId="0" fontId="15" fillId="0" borderId="63" xfId="0" applyFont="1" applyBorder="1" applyAlignment="1">
      <alignment vertical="center"/>
    </xf>
    <xf numFmtId="4" fontId="15" fillId="0" borderId="63" xfId="0" applyNumberFormat="1" applyFont="1" applyBorder="1" applyAlignment="1">
      <alignment vertical="top"/>
    </xf>
    <xf numFmtId="166" fontId="15" fillId="12" borderId="133" xfId="0" applyNumberFormat="1" applyFont="1" applyFill="1" applyBorder="1"/>
    <xf numFmtId="166" fontId="15" fillId="17" borderId="132" xfId="0" applyNumberFormat="1" applyFont="1" applyFill="1" applyBorder="1"/>
    <xf numFmtId="166" fontId="15" fillId="10" borderId="131" xfId="0" applyNumberFormat="1" applyFont="1" applyFill="1" applyBorder="1" applyAlignment="1">
      <alignment horizontal="right"/>
    </xf>
    <xf numFmtId="166" fontId="15" fillId="12" borderId="30" xfId="0" applyNumberFormat="1" applyFont="1" applyFill="1" applyBorder="1"/>
    <xf numFmtId="166" fontId="15" fillId="17" borderId="118" xfId="0" applyNumberFormat="1" applyFont="1" applyFill="1" applyBorder="1"/>
    <xf numFmtId="166" fontId="15" fillId="10" borderId="133" xfId="0" applyNumberFormat="1" applyFont="1" applyFill="1" applyBorder="1" applyAlignment="1">
      <alignment horizontal="right"/>
    </xf>
    <xf numFmtId="166" fontId="15" fillId="10" borderId="127" xfId="0" applyNumberFormat="1" applyFont="1" applyFill="1" applyBorder="1" applyAlignment="1">
      <alignment horizontal="right"/>
    </xf>
    <xf numFmtId="166" fontId="15" fillId="12" borderId="27" xfId="0" applyNumberFormat="1" applyFont="1" applyFill="1" applyBorder="1"/>
    <xf numFmtId="0" fontId="15" fillId="0" borderId="15" xfId="0" applyFont="1" applyBorder="1" applyAlignment="1">
      <alignment vertical="center"/>
    </xf>
    <xf numFmtId="0" fontId="15" fillId="0" borderId="100" xfId="0" applyFont="1" applyBorder="1" applyAlignment="1">
      <alignment vertical="center"/>
    </xf>
    <xf numFmtId="4" fontId="15" fillId="0" borderId="100" xfId="0" applyNumberFormat="1" applyFont="1" applyBorder="1" applyAlignment="1">
      <alignment vertical="top"/>
    </xf>
    <xf numFmtId="166" fontId="15" fillId="12" borderId="134" xfId="0" applyNumberFormat="1" applyFont="1" applyFill="1" applyBorder="1"/>
    <xf numFmtId="166" fontId="15" fillId="12" borderId="43" xfId="0" applyNumberFormat="1" applyFont="1" applyFill="1" applyBorder="1"/>
    <xf numFmtId="166" fontId="15" fillId="17" borderId="135" xfId="0" applyNumberFormat="1" applyFont="1" applyFill="1" applyBorder="1"/>
    <xf numFmtId="166" fontId="15" fillId="10" borderId="134" xfId="0" applyNumberFormat="1" applyFont="1" applyFill="1" applyBorder="1" applyAlignment="1">
      <alignment horizontal="right"/>
    </xf>
    <xf numFmtId="173" fontId="45" fillId="0" borderId="64" xfId="0" applyNumberFormat="1" applyFont="1" applyBorder="1" applyAlignment="1">
      <alignment horizontal="right" vertical="center"/>
    </xf>
    <xf numFmtId="165" fontId="45" fillId="12" borderId="125" xfId="0" applyNumberFormat="1" applyFont="1" applyFill="1" applyBorder="1" applyAlignment="1">
      <alignment horizontal="right" vertical="center"/>
    </xf>
    <xf numFmtId="165" fontId="45" fillId="12" borderId="35" xfId="0" applyNumberFormat="1" applyFont="1" applyFill="1" applyBorder="1" applyAlignment="1">
      <alignment horizontal="right" vertical="center"/>
    </xf>
    <xf numFmtId="165" fontId="45" fillId="17" borderId="54" xfId="0" applyNumberFormat="1" applyFont="1" applyFill="1" applyBorder="1" applyAlignment="1">
      <alignment horizontal="right" vertical="center"/>
    </xf>
    <xf numFmtId="165" fontId="45" fillId="10" borderId="122" xfId="0" applyNumberFormat="1" applyFont="1" applyFill="1" applyBorder="1" applyAlignment="1">
      <alignment horizontal="right" vertical="center"/>
    </xf>
    <xf numFmtId="0" fontId="15" fillId="0" borderId="0" xfId="0" applyFont="1" applyAlignment="1">
      <alignment horizontal="right" vertical="center"/>
    </xf>
    <xf numFmtId="0" fontId="2" fillId="0" borderId="0" xfId="0" applyFont="1" applyAlignment="1">
      <alignment horizontal="left" indent="2"/>
    </xf>
    <xf numFmtId="0" fontId="14" fillId="0" borderId="8" xfId="0" applyFont="1" applyBorder="1"/>
    <xf numFmtId="172" fontId="14" fillId="0" borderId="15" xfId="0" applyNumberFormat="1" applyFont="1" applyBorder="1"/>
    <xf numFmtId="172" fontId="15" fillId="0" borderId="0" xfId="0" applyNumberFormat="1" applyFont="1"/>
    <xf numFmtId="172" fontId="14" fillId="0" borderId="8" xfId="0" applyNumberFormat="1" applyFont="1" applyBorder="1" applyAlignment="1">
      <alignment horizontal="right"/>
    </xf>
    <xf numFmtId="176" fontId="2" fillId="0" borderId="0" xfId="0" applyNumberFormat="1" applyFont="1"/>
    <xf numFmtId="177" fontId="15" fillId="0" borderId="0" xfId="0" applyNumberFormat="1" applyFont="1"/>
    <xf numFmtId="166" fontId="15" fillId="10" borderId="20" xfId="0" applyNumberFormat="1" applyFont="1" applyFill="1" applyBorder="1" applyAlignment="1">
      <alignment horizontal="right"/>
    </xf>
    <xf numFmtId="166" fontId="15" fillId="10" borderId="20" xfId="0" applyNumberFormat="1" applyFont="1" applyFill="1" applyBorder="1" applyAlignment="1">
      <alignment horizontal="right" vertical="top"/>
    </xf>
    <xf numFmtId="166" fontId="15" fillId="10" borderId="23" xfId="0" applyNumberFormat="1" applyFont="1" applyFill="1" applyBorder="1" applyAlignment="1">
      <alignment horizontal="right"/>
    </xf>
    <xf numFmtId="166" fontId="15" fillId="10" borderId="44" xfId="0" applyNumberFormat="1" applyFont="1" applyFill="1" applyBorder="1" applyAlignment="1">
      <alignment horizontal="right"/>
    </xf>
    <xf numFmtId="172" fontId="45" fillId="10" borderId="123" xfId="0" applyNumberFormat="1" applyFont="1" applyFill="1" applyBorder="1" applyAlignment="1">
      <alignment horizontal="right" vertical="center"/>
    </xf>
    <xf numFmtId="9" fontId="15" fillId="0" borderId="0" xfId="5" applyFont="1"/>
    <xf numFmtId="0" fontId="15" fillId="10" borderId="11" xfId="0" applyFont="1" applyFill="1" applyBorder="1" applyAlignment="1">
      <alignment horizontal="right" wrapText="1"/>
    </xf>
    <xf numFmtId="0" fontId="5" fillId="0" borderId="0" xfId="0" applyFont="1" applyAlignment="1">
      <alignment horizontal="left" indent="2"/>
    </xf>
    <xf numFmtId="166" fontId="15" fillId="4" borderId="129" xfId="0" applyNumberFormat="1" applyFont="1" applyFill="1" applyBorder="1" applyAlignment="1">
      <alignment vertical="top"/>
    </xf>
    <xf numFmtId="0" fontId="15" fillId="4" borderId="26" xfId="0" applyFont="1" applyFill="1" applyBorder="1" applyAlignment="1">
      <alignment vertical="top"/>
    </xf>
    <xf numFmtId="165" fontId="15" fillId="4" borderId="126" xfId="0" applyNumberFormat="1" applyFont="1" applyFill="1" applyBorder="1"/>
    <xf numFmtId="0" fontId="15" fillId="4" borderId="9" xfId="0" applyFont="1" applyFill="1" applyBorder="1" applyAlignment="1">
      <alignment vertical="center"/>
    </xf>
    <xf numFmtId="0" fontId="15" fillId="4" borderId="10" xfId="0" applyFont="1" applyFill="1" applyBorder="1" applyAlignment="1">
      <alignment vertical="center"/>
    </xf>
    <xf numFmtId="166" fontId="15" fillId="4" borderId="131" xfId="0" applyNumberFormat="1" applyFont="1" applyFill="1" applyBorder="1"/>
    <xf numFmtId="166" fontId="15" fillId="4" borderId="133" xfId="0" applyNumberFormat="1" applyFont="1" applyFill="1" applyBorder="1"/>
    <xf numFmtId="166" fontId="15" fillId="4" borderId="127" xfId="0" applyNumberFormat="1" applyFont="1" applyFill="1" applyBorder="1"/>
    <xf numFmtId="166" fontId="15" fillId="4" borderId="129" xfId="0" applyNumberFormat="1" applyFont="1" applyFill="1" applyBorder="1"/>
    <xf numFmtId="0" fontId="15" fillId="4" borderId="26" xfId="0" applyFont="1" applyFill="1" applyBorder="1" applyAlignment="1">
      <alignment vertical="center"/>
    </xf>
    <xf numFmtId="0" fontId="15" fillId="4" borderId="28" xfId="0" applyFont="1" applyFill="1" applyBorder="1" applyAlignment="1">
      <alignment vertical="center"/>
    </xf>
    <xf numFmtId="0" fontId="15" fillId="4" borderId="0" xfId="0" applyFont="1" applyFill="1" applyAlignment="1">
      <alignment vertical="center"/>
    </xf>
    <xf numFmtId="0" fontId="27" fillId="0" borderId="0" xfId="0" applyFont="1" applyAlignment="1">
      <alignment vertical="top"/>
    </xf>
    <xf numFmtId="0" fontId="14" fillId="0" borderId="0" xfId="0" applyFont="1" applyAlignment="1">
      <alignment horizontal="left" vertical="top"/>
    </xf>
    <xf numFmtId="0" fontId="27" fillId="0" borderId="0" xfId="0" applyFont="1" applyAlignment="1">
      <alignment horizontal="left" vertical="top"/>
    </xf>
    <xf numFmtId="0" fontId="15" fillId="0" borderId="40" xfId="0" applyFont="1" applyBorder="1" applyAlignment="1">
      <alignment horizontal="left" vertical="top" indent="1"/>
    </xf>
    <xf numFmtId="165" fontId="15" fillId="0" borderId="0" xfId="0" applyNumberFormat="1" applyFont="1" applyAlignment="1" applyProtection="1">
      <alignment horizontal="right" vertical="top"/>
      <protection locked="0"/>
    </xf>
    <xf numFmtId="0" fontId="27" fillId="0" borderId="40" xfId="0" applyFont="1" applyBorder="1" applyAlignment="1">
      <alignment horizontal="left" vertical="top" wrapText="1" indent="1"/>
    </xf>
    <xf numFmtId="178" fontId="15" fillId="0" borderId="0" xfId="0" applyNumberFormat="1" applyFont="1" applyAlignment="1" applyProtection="1">
      <alignment horizontal="right" vertical="top"/>
      <protection locked="0"/>
    </xf>
    <xf numFmtId="0" fontId="29" fillId="2" borderId="55" xfId="0" applyFont="1" applyFill="1" applyBorder="1" applyAlignment="1">
      <alignment horizontal="left" vertical="top" wrapText="1"/>
    </xf>
    <xf numFmtId="173" fontId="14" fillId="2" borderId="56" xfId="0" applyNumberFormat="1" applyFont="1" applyFill="1" applyBorder="1" applyAlignment="1">
      <alignment horizontal="right" vertical="top"/>
    </xf>
    <xf numFmtId="0" fontId="29" fillId="0" borderId="40" xfId="0" applyFont="1" applyBorder="1" applyAlignment="1">
      <alignment horizontal="left" vertical="top" wrapText="1"/>
    </xf>
    <xf numFmtId="0" fontId="29" fillId="0" borderId="0" xfId="0" applyFont="1" applyAlignment="1">
      <alignment horizontal="left" vertical="top" wrapText="1"/>
    </xf>
    <xf numFmtId="166" fontId="15" fillId="0" borderId="0" xfId="0" applyNumberFormat="1" applyFont="1" applyAlignment="1">
      <alignment horizontal="right" vertical="top"/>
    </xf>
    <xf numFmtId="0" fontId="14" fillId="18" borderId="76" xfId="0" applyFont="1" applyFill="1" applyBorder="1" applyAlignment="1">
      <alignment vertical="top" wrapText="1"/>
    </xf>
    <xf numFmtId="165" fontId="29" fillId="18" borderId="56" xfId="0" applyNumberFormat="1" applyFont="1" applyFill="1" applyBorder="1" applyAlignment="1">
      <alignment horizontal="right" vertical="top"/>
    </xf>
    <xf numFmtId="0" fontId="24" fillId="0" borderId="0" xfId="0" applyFont="1" applyAlignment="1">
      <alignment horizontal="left" vertical="top"/>
    </xf>
    <xf numFmtId="43" fontId="27" fillId="0" borderId="0" xfId="1" applyFont="1"/>
    <xf numFmtId="0" fontId="15" fillId="0" borderId="3" xfId="0" applyFont="1" applyBorder="1" applyAlignment="1">
      <alignment horizontal="center"/>
    </xf>
    <xf numFmtId="0" fontId="15" fillId="0" borderId="9" xfId="0" applyFont="1" applyBorder="1" applyAlignment="1">
      <alignment horizontal="center"/>
    </xf>
    <xf numFmtId="165" fontId="15" fillId="12" borderId="0" xfId="0" applyNumberFormat="1" applyFont="1" applyFill="1" applyAlignment="1" applyProtection="1">
      <alignment horizontal="right" vertical="top"/>
      <protection locked="0"/>
    </xf>
    <xf numFmtId="178" fontId="15" fillId="12" borderId="0" xfId="0" applyNumberFormat="1" applyFont="1" applyFill="1" applyAlignment="1" applyProtection="1">
      <alignment horizontal="right" vertical="top"/>
      <protection locked="0"/>
    </xf>
    <xf numFmtId="0" fontId="29" fillId="2" borderId="56" xfId="0" applyFont="1" applyFill="1" applyBorder="1" applyAlignment="1">
      <alignment horizontal="left" vertical="top" wrapText="1"/>
    </xf>
    <xf numFmtId="166" fontId="15" fillId="12" borderId="0" xfId="0" applyNumberFormat="1" applyFont="1" applyFill="1" applyAlignment="1">
      <alignment horizontal="right" vertical="top"/>
    </xf>
    <xf numFmtId="0" fontId="14" fillId="18" borderId="3" xfId="0" applyFont="1" applyFill="1" applyBorder="1" applyAlignment="1">
      <alignment vertical="top" wrapText="1"/>
    </xf>
    <xf numFmtId="0" fontId="15" fillId="10" borderId="0" xfId="0" applyFont="1" applyFill="1"/>
    <xf numFmtId="0" fontId="15" fillId="12" borderId="0" xfId="0" applyFont="1" applyFill="1"/>
    <xf numFmtId="0" fontId="15" fillId="0" borderId="0" xfId="0" applyFont="1" applyAlignment="1">
      <alignment horizontal="left" vertical="top" wrapText="1"/>
    </xf>
    <xf numFmtId="173" fontId="14" fillId="2" borderId="57" xfId="0" applyNumberFormat="1" applyFont="1" applyFill="1" applyBorder="1" applyAlignment="1">
      <alignment horizontal="right" vertical="top"/>
    </xf>
    <xf numFmtId="165" fontId="29" fillId="18" borderId="57" xfId="0" applyNumberFormat="1" applyFont="1" applyFill="1" applyBorder="1" applyAlignment="1">
      <alignment horizontal="right" vertical="top"/>
    </xf>
    <xf numFmtId="0" fontId="15" fillId="0" borderId="77" xfId="0" applyFont="1" applyBorder="1" applyAlignment="1">
      <alignment horizontal="left" vertical="top" wrapText="1"/>
    </xf>
    <xf numFmtId="165" fontId="15" fillId="0" borderId="77" xfId="0" applyNumberFormat="1" applyFont="1" applyBorder="1" applyAlignment="1" applyProtection="1">
      <alignment horizontal="right" vertical="top"/>
      <protection locked="0"/>
    </xf>
    <xf numFmtId="165" fontId="15" fillId="10" borderId="77" xfId="0" applyNumberFormat="1" applyFont="1" applyFill="1" applyBorder="1" applyAlignment="1" applyProtection="1">
      <alignment horizontal="right" vertical="top"/>
      <protection locked="0"/>
    </xf>
    <xf numFmtId="173" fontId="14" fillId="2" borderId="136" xfId="0" applyNumberFormat="1" applyFont="1" applyFill="1" applyBorder="1" applyAlignment="1">
      <alignment horizontal="right" vertical="top"/>
    </xf>
    <xf numFmtId="166" fontId="15" fillId="0" borderId="77" xfId="0" applyNumberFormat="1" applyFont="1" applyBorder="1" applyAlignment="1">
      <alignment horizontal="right" vertical="top"/>
    </xf>
    <xf numFmtId="165" fontId="29" fillId="18" borderId="136" xfId="0" applyNumberFormat="1" applyFont="1" applyFill="1" applyBorder="1" applyAlignment="1">
      <alignment horizontal="right" vertical="top"/>
    </xf>
    <xf numFmtId="0" fontId="15" fillId="12" borderId="0" xfId="0" applyFont="1" applyFill="1" applyAlignment="1">
      <alignment horizontal="left" vertical="top" wrapText="1"/>
    </xf>
    <xf numFmtId="173" fontId="14" fillId="12" borderId="56" xfId="0" applyNumberFormat="1" applyFont="1" applyFill="1" applyBorder="1" applyAlignment="1">
      <alignment horizontal="right" vertical="top"/>
    </xf>
    <xf numFmtId="165" fontId="29" fillId="12" borderId="56" xfId="0" applyNumberFormat="1" applyFont="1" applyFill="1" applyBorder="1" applyAlignment="1">
      <alignment horizontal="right" vertical="top"/>
    </xf>
    <xf numFmtId="0" fontId="15" fillId="0" borderId="40" xfId="0" applyFont="1" applyBorder="1" applyAlignment="1">
      <alignment horizontal="left" vertical="top" wrapText="1"/>
    </xf>
    <xf numFmtId="165" fontId="15" fillId="0" borderId="40" xfId="0" applyNumberFormat="1" applyFont="1" applyBorder="1" applyAlignment="1" applyProtection="1">
      <alignment horizontal="right" vertical="top"/>
      <protection locked="0"/>
    </xf>
    <xf numFmtId="178" fontId="15" fillId="0" borderId="40" xfId="0" applyNumberFormat="1" applyFont="1" applyBorder="1" applyAlignment="1" applyProtection="1">
      <alignment horizontal="right" vertical="top"/>
      <protection locked="0"/>
    </xf>
    <xf numFmtId="173" fontId="14" fillId="2" borderId="55" xfId="0" applyNumberFormat="1" applyFont="1" applyFill="1" applyBorder="1" applyAlignment="1">
      <alignment horizontal="right" vertical="top"/>
    </xf>
    <xf numFmtId="166" fontId="15" fillId="0" borderId="40" xfId="0" applyNumberFormat="1" applyFont="1" applyBorder="1" applyAlignment="1">
      <alignment horizontal="right" vertical="top"/>
    </xf>
    <xf numFmtId="165" fontId="29" fillId="18" borderId="55" xfId="0" applyNumberFormat="1" applyFont="1" applyFill="1" applyBorder="1" applyAlignment="1">
      <alignment horizontal="right" vertical="top"/>
    </xf>
    <xf numFmtId="0" fontId="15" fillId="0" borderId="12" xfId="0" applyFont="1" applyBorder="1" applyAlignment="1">
      <alignment horizontal="left" vertical="top" wrapText="1"/>
    </xf>
    <xf numFmtId="9" fontId="15" fillId="0" borderId="0" xfId="5" applyFont="1" applyFill="1" applyBorder="1" applyAlignment="1">
      <alignment horizontal="left" vertical="top" indent="1"/>
    </xf>
    <xf numFmtId="165" fontId="15" fillId="0" borderId="12" xfId="0" applyNumberFormat="1" applyFont="1" applyBorder="1" applyAlignment="1" applyProtection="1">
      <alignment horizontal="right" vertical="top"/>
      <protection locked="0"/>
    </xf>
    <xf numFmtId="178" fontId="15" fillId="0" borderId="12" xfId="0" applyNumberFormat="1" applyFont="1" applyBorder="1" applyAlignment="1" applyProtection="1">
      <alignment horizontal="right" vertical="top"/>
      <protection locked="0"/>
    </xf>
    <xf numFmtId="0" fontId="29" fillId="0" borderId="55" xfId="0" applyFont="1" applyBorder="1" applyAlignment="1">
      <alignment horizontal="left" vertical="top" wrapText="1"/>
    </xf>
    <xf numFmtId="0" fontId="29" fillId="0" borderId="56" xfId="0" applyFont="1" applyBorder="1" applyAlignment="1">
      <alignment horizontal="left" vertical="top" wrapText="1"/>
    </xf>
    <xf numFmtId="173" fontId="14" fillId="0" borderId="56" xfId="0" applyNumberFormat="1" applyFont="1" applyBorder="1" applyAlignment="1">
      <alignment horizontal="right" vertical="top"/>
    </xf>
    <xf numFmtId="173" fontId="14" fillId="0" borderId="57" xfId="0" applyNumberFormat="1" applyFont="1" applyBorder="1" applyAlignment="1">
      <alignment horizontal="right" vertical="top"/>
    </xf>
    <xf numFmtId="166" fontId="15" fillId="0" borderId="12" xfId="0" applyNumberFormat="1" applyFont="1" applyBorder="1" applyAlignment="1">
      <alignment horizontal="right" vertical="top"/>
    </xf>
    <xf numFmtId="9" fontId="27" fillId="0" borderId="0" xfId="5" applyFont="1" applyFill="1" applyAlignment="1">
      <alignment horizontal="left" vertical="top" wrapText="1" indent="1"/>
    </xf>
    <xf numFmtId="0" fontId="27" fillId="0" borderId="0" xfId="0" applyFont="1" applyAlignment="1">
      <alignment horizontal="left" vertical="top" wrapText="1" indent="1"/>
    </xf>
    <xf numFmtId="0" fontId="24" fillId="0" borderId="40" xfId="0" applyFont="1" applyBorder="1" applyAlignment="1">
      <alignment horizontal="left" vertical="top" wrapText="1" indent="1"/>
    </xf>
    <xf numFmtId="166" fontId="24" fillId="0" borderId="0" xfId="0" applyNumberFormat="1" applyFont="1" applyAlignment="1">
      <alignment horizontal="right" vertical="top"/>
    </xf>
    <xf numFmtId="0" fontId="15" fillId="0" borderId="40" xfId="0" applyFont="1" applyBorder="1" applyAlignment="1">
      <alignment horizontal="left" vertical="top" wrapText="1" indent="1"/>
    </xf>
    <xf numFmtId="173" fontId="15" fillId="0" borderId="0" xfId="0" applyNumberFormat="1" applyFont="1"/>
    <xf numFmtId="173" fontId="27" fillId="0" borderId="0" xfId="0" applyNumberFormat="1" applyFont="1"/>
    <xf numFmtId="0" fontId="14" fillId="0" borderId="0" xfId="0" applyFont="1" applyAlignment="1">
      <alignment horizontal="center"/>
    </xf>
    <xf numFmtId="0" fontId="2" fillId="0" borderId="0" xfId="0" applyFont="1" applyAlignment="1">
      <alignment horizontal="left" vertical="top" wrapText="1"/>
    </xf>
    <xf numFmtId="0" fontId="14" fillId="0" borderId="0" xfId="0" applyFont="1" applyAlignment="1">
      <alignment horizontal="right" wrapText="1"/>
    </xf>
    <xf numFmtId="166" fontId="27" fillId="0" borderId="0" xfId="0" applyNumberFormat="1" applyFont="1" applyAlignment="1">
      <alignment horizontal="right" vertical="top"/>
    </xf>
    <xf numFmtId="165" fontId="24" fillId="0" borderId="40" xfId="0" applyNumberFormat="1" applyFont="1" applyBorder="1" applyAlignment="1" applyProtection="1">
      <alignment horizontal="right" vertical="top"/>
      <protection locked="0"/>
    </xf>
    <xf numFmtId="178" fontId="24" fillId="0" borderId="40" xfId="0" applyNumberFormat="1" applyFont="1" applyBorder="1" applyAlignment="1" applyProtection="1">
      <alignment horizontal="right" vertical="top"/>
      <protection locked="0"/>
    </xf>
    <xf numFmtId="178" fontId="24" fillId="0" borderId="0" xfId="0" applyNumberFormat="1" applyFont="1" applyAlignment="1" applyProtection="1">
      <alignment horizontal="right" vertical="top"/>
      <protection locked="0"/>
    </xf>
    <xf numFmtId="165" fontId="24" fillId="0" borderId="0" xfId="0" applyNumberFormat="1" applyFont="1" applyAlignment="1" applyProtection="1">
      <alignment horizontal="right" vertical="top"/>
      <protection locked="0"/>
    </xf>
    <xf numFmtId="2" fontId="15" fillId="0" borderId="0" xfId="0" applyNumberFormat="1" applyFont="1"/>
    <xf numFmtId="0" fontId="15" fillId="0" borderId="0" xfId="0" applyFont="1" applyAlignment="1">
      <alignment horizontal="center" vertical="top"/>
    </xf>
    <xf numFmtId="43" fontId="27" fillId="0" borderId="0" xfId="1" applyFont="1" applyFill="1"/>
    <xf numFmtId="166" fontId="15" fillId="12" borderId="0" xfId="0" applyNumberFormat="1" applyFont="1" applyFill="1" applyAlignment="1" applyProtection="1">
      <alignment horizontal="right" vertical="top"/>
      <protection locked="0"/>
    </xf>
    <xf numFmtId="178" fontId="27" fillId="0" borderId="0" xfId="0" applyNumberFormat="1" applyFont="1" applyAlignment="1" applyProtection="1">
      <alignment horizontal="right" vertical="top"/>
      <protection locked="0"/>
    </xf>
    <xf numFmtId="166" fontId="24" fillId="12" borderId="0" xfId="0" applyNumberFormat="1" applyFont="1" applyFill="1" applyAlignment="1">
      <alignment horizontal="right" vertical="top"/>
    </xf>
    <xf numFmtId="165" fontId="24" fillId="0" borderId="77" xfId="0" applyNumberFormat="1" applyFont="1" applyBorder="1" applyAlignment="1" applyProtection="1">
      <alignment horizontal="right" vertical="top"/>
      <protection locked="0"/>
    </xf>
    <xf numFmtId="9" fontId="15" fillId="0" borderId="0" xfId="5" applyFont="1" applyFill="1" applyAlignment="1">
      <alignment horizontal="left" vertical="top" wrapText="1" indent="1"/>
    </xf>
    <xf numFmtId="166" fontId="24" fillId="6" borderId="40" xfId="0" applyNumberFormat="1" applyFont="1" applyFill="1" applyBorder="1" applyAlignment="1">
      <alignment horizontal="right" vertical="top"/>
    </xf>
    <xf numFmtId="166" fontId="15" fillId="0" borderId="40" xfId="0" applyNumberFormat="1" applyFont="1" applyBorder="1" applyAlignment="1" applyProtection="1">
      <alignment horizontal="right" vertical="top"/>
      <protection locked="0"/>
    </xf>
    <xf numFmtId="9" fontId="84" fillId="0" borderId="0" xfId="5" applyFont="1" applyFill="1" applyAlignment="1">
      <alignment horizontal="left" vertical="top" wrapText="1" indent="1"/>
    </xf>
    <xf numFmtId="165" fontId="15" fillId="0" borderId="56" xfId="0" applyNumberFormat="1" applyFont="1" applyBorder="1" applyAlignment="1" applyProtection="1">
      <alignment horizontal="right" vertical="top"/>
      <protection locked="0"/>
    </xf>
    <xf numFmtId="7" fontId="2" fillId="0" borderId="0" xfId="0" applyNumberFormat="1" applyFont="1" applyAlignment="1">
      <alignment horizontal="right" vertical="top" wrapText="1"/>
    </xf>
    <xf numFmtId="0" fontId="2" fillId="0" borderId="70" xfId="0" applyFont="1" applyBorder="1"/>
    <xf numFmtId="0" fontId="2" fillId="0" borderId="80" xfId="0" applyFont="1" applyBorder="1"/>
    <xf numFmtId="0" fontId="2" fillId="0" borderId="71" xfId="0" applyFont="1" applyBorder="1"/>
    <xf numFmtId="0" fontId="4" fillId="0" borderId="63" xfId="0" applyFont="1" applyBorder="1" applyAlignment="1">
      <alignment horizontal="center" vertical="center" wrapText="1"/>
    </xf>
    <xf numFmtId="0" fontId="2" fillId="0" borderId="63" xfId="0" applyFont="1" applyBorder="1" applyAlignment="1">
      <alignment horizontal="center" wrapText="1"/>
    </xf>
    <xf numFmtId="0" fontId="2" fillId="0" borderId="63" xfId="0" applyFont="1" applyBorder="1" applyAlignment="1">
      <alignment horizontal="right" wrapText="1"/>
    </xf>
    <xf numFmtId="0" fontId="4" fillId="0" borderId="80" xfId="0" applyFont="1" applyBorder="1" applyAlignment="1">
      <alignment horizontal="center" vertical="center" wrapText="1"/>
    </xf>
    <xf numFmtId="0" fontId="2" fillId="0" borderId="80" xfId="0" applyFont="1" applyBorder="1" applyAlignment="1">
      <alignment horizontal="center" wrapText="1"/>
    </xf>
    <xf numFmtId="0" fontId="2" fillId="0" borderId="80" xfId="0" applyFont="1" applyBorder="1" applyAlignment="1">
      <alignment horizontal="right" wrapText="1"/>
    </xf>
    <xf numFmtId="0" fontId="2" fillId="0" borderId="0" xfId="0" applyFont="1" applyAlignment="1">
      <alignment vertical="center" wrapText="1"/>
    </xf>
    <xf numFmtId="0" fontId="85" fillId="0" borderId="14" xfId="0" applyFont="1" applyBorder="1" applyAlignment="1">
      <alignment horizontal="right" wrapText="1"/>
    </xf>
    <xf numFmtId="0" fontId="85" fillId="0" borderId="65" xfId="0" applyFont="1" applyBorder="1" applyAlignment="1">
      <alignment horizontal="right" wrapText="1"/>
    </xf>
    <xf numFmtId="0" fontId="2" fillId="0" borderId="80" xfId="0" applyFont="1" applyBorder="1" applyAlignment="1">
      <alignment vertical="top"/>
    </xf>
    <xf numFmtId="165" fontId="2" fillId="0" borderId="0" xfId="0" applyNumberFormat="1" applyFont="1" applyAlignment="1">
      <alignment vertical="top"/>
    </xf>
    <xf numFmtId="165" fontId="2" fillId="0" borderId="29" xfId="0" applyNumberFormat="1" applyFont="1" applyBorder="1" applyAlignment="1">
      <alignment vertical="top"/>
    </xf>
    <xf numFmtId="165" fontId="2" fillId="0" borderId="28" xfId="0" applyNumberFormat="1" applyFont="1" applyBorder="1" applyAlignment="1">
      <alignment vertical="top"/>
    </xf>
    <xf numFmtId="165" fontId="2" fillId="0" borderId="31" xfId="0" applyNumberFormat="1" applyFont="1" applyBorder="1" applyAlignment="1">
      <alignment vertical="top"/>
    </xf>
    <xf numFmtId="165" fontId="2" fillId="0" borderId="12" xfId="0" applyNumberFormat="1" applyFont="1" applyBorder="1" applyAlignment="1">
      <alignment horizontal="right" vertical="top"/>
    </xf>
    <xf numFmtId="167" fontId="2" fillId="0" borderId="63" xfId="0" applyNumberFormat="1" applyFont="1" applyBorder="1" applyAlignment="1">
      <alignment horizontal="right" vertical="top"/>
    </xf>
    <xf numFmtId="0" fontId="2" fillId="0" borderId="0" xfId="0" applyFont="1" applyAlignment="1">
      <alignment vertical="top"/>
    </xf>
    <xf numFmtId="166" fontId="2" fillId="0" borderId="0" xfId="0" applyNumberFormat="1" applyFont="1" applyAlignment="1">
      <alignment vertical="top"/>
    </xf>
    <xf numFmtId="166" fontId="2" fillId="0" borderId="12" xfId="0" applyNumberFormat="1" applyFont="1" applyBorder="1" applyAlignment="1">
      <alignment vertical="top"/>
    </xf>
    <xf numFmtId="166" fontId="2" fillId="0" borderId="30" xfId="0" applyNumberFormat="1" applyFont="1" applyBorder="1" applyAlignment="1">
      <alignment vertical="top"/>
    </xf>
    <xf numFmtId="166" fontId="2" fillId="0" borderId="12" xfId="0" applyNumberFormat="1" applyFont="1" applyBorder="1" applyAlignment="1">
      <alignment horizontal="right" vertical="top"/>
    </xf>
    <xf numFmtId="0" fontId="2" fillId="0" borderId="71" xfId="0" applyFont="1" applyBorder="1" applyAlignment="1">
      <alignment vertical="top"/>
    </xf>
    <xf numFmtId="166" fontId="2" fillId="0" borderId="41" xfId="0" applyNumberFormat="1" applyFont="1" applyBorder="1" applyAlignment="1">
      <alignment vertical="top"/>
    </xf>
    <xf numFmtId="166" fontId="2" fillId="0" borderId="14" xfId="0" applyNumberFormat="1" applyFont="1" applyBorder="1" applyAlignment="1">
      <alignment vertical="top"/>
    </xf>
    <xf numFmtId="166" fontId="2" fillId="0" borderId="10" xfId="0" applyNumberFormat="1" applyFont="1" applyBorder="1" applyAlignment="1">
      <alignment vertical="top"/>
    </xf>
    <xf numFmtId="166" fontId="2" fillId="0" borderId="32" xfId="0" applyNumberFormat="1" applyFont="1" applyBorder="1" applyAlignment="1">
      <alignment vertical="top"/>
    </xf>
    <xf numFmtId="166" fontId="2" fillId="0" borderId="14" xfId="0" applyNumberFormat="1" applyFont="1" applyBorder="1" applyAlignment="1">
      <alignment horizontal="right" vertical="top"/>
    </xf>
    <xf numFmtId="167" fontId="2" fillId="0" borderId="65" xfId="0" applyNumberFormat="1" applyFont="1" applyBorder="1" applyAlignment="1">
      <alignment horizontal="right" vertical="top"/>
    </xf>
    <xf numFmtId="0" fontId="4" fillId="0" borderId="80" xfId="0" applyFont="1" applyBorder="1" applyAlignment="1">
      <alignment vertical="top"/>
    </xf>
    <xf numFmtId="165" fontId="4" fillId="0" borderId="0" xfId="0" applyNumberFormat="1" applyFont="1" applyAlignment="1">
      <alignment vertical="top"/>
    </xf>
    <xf numFmtId="165" fontId="4" fillId="0" borderId="12" xfId="0" applyNumberFormat="1" applyFont="1" applyBorder="1" applyAlignment="1">
      <alignment vertical="top"/>
    </xf>
    <xf numFmtId="165" fontId="4" fillId="0" borderId="30" xfId="0" applyNumberFormat="1" applyFont="1" applyBorder="1" applyAlignment="1">
      <alignment vertical="top"/>
    </xf>
    <xf numFmtId="165" fontId="4" fillId="0" borderId="12" xfId="0" applyNumberFormat="1" applyFont="1" applyBorder="1" applyAlignment="1">
      <alignment horizontal="right" vertical="top"/>
    </xf>
    <xf numFmtId="167" fontId="4" fillId="0" borderId="63" xfId="0" applyNumberFormat="1" applyFont="1" applyBorder="1" applyAlignment="1">
      <alignment horizontal="right" vertical="top"/>
    </xf>
    <xf numFmtId="166" fontId="4" fillId="0" borderId="10" xfId="0" applyNumberFormat="1" applyFont="1" applyBorder="1" applyAlignment="1">
      <alignment vertical="top"/>
    </xf>
    <xf numFmtId="166" fontId="4" fillId="0" borderId="14" xfId="0" applyNumberFormat="1" applyFont="1" applyBorder="1" applyAlignment="1">
      <alignment vertical="top"/>
    </xf>
    <xf numFmtId="166" fontId="4" fillId="0" borderId="32" xfId="0" applyNumberFormat="1" applyFont="1" applyBorder="1" applyAlignment="1">
      <alignment vertical="top"/>
    </xf>
    <xf numFmtId="166" fontId="4" fillId="0" borderId="14" xfId="0" applyNumberFormat="1" applyFont="1" applyBorder="1" applyAlignment="1">
      <alignment horizontal="right" vertical="top"/>
    </xf>
    <xf numFmtId="167" fontId="4" fillId="0" borderId="65" xfId="0" applyNumberFormat="1" applyFont="1" applyBorder="1" applyAlignment="1">
      <alignment horizontal="right" vertical="top"/>
    </xf>
    <xf numFmtId="0" fontId="4" fillId="0" borderId="71" xfId="0" applyFont="1" applyBorder="1" applyAlignment="1">
      <alignment vertical="top"/>
    </xf>
    <xf numFmtId="0" fontId="4" fillId="0" borderId="81" xfId="0" applyFont="1" applyBorder="1" applyAlignment="1">
      <alignment vertical="center"/>
    </xf>
    <xf numFmtId="165" fontId="4" fillId="0" borderId="3" xfId="0" applyNumberFormat="1" applyFont="1" applyBorder="1" applyAlignment="1">
      <alignment vertical="center"/>
    </xf>
    <xf numFmtId="165" fontId="4" fillId="0" borderId="17" xfId="0" applyNumberFormat="1" applyFont="1" applyBorder="1" applyAlignment="1">
      <alignment vertical="center"/>
    </xf>
    <xf numFmtId="165" fontId="4" fillId="0" borderId="35" xfId="0" applyNumberFormat="1" applyFont="1" applyBorder="1" applyAlignment="1">
      <alignment vertical="center"/>
    </xf>
    <xf numFmtId="165" fontId="4" fillId="0" borderId="17" xfId="0" applyNumberFormat="1" applyFont="1" applyBorder="1" applyAlignment="1">
      <alignment horizontal="right" vertical="center"/>
    </xf>
    <xf numFmtId="167" fontId="4" fillId="0" borderId="64" xfId="0" applyNumberFormat="1" applyFont="1" applyBorder="1" applyAlignment="1">
      <alignment horizontal="right" vertical="center"/>
    </xf>
    <xf numFmtId="167" fontId="4" fillId="0" borderId="63" xfId="0" applyNumberFormat="1" applyFont="1" applyBorder="1" applyAlignment="1">
      <alignment horizontal="right" vertical="center"/>
    </xf>
    <xf numFmtId="0" fontId="85" fillId="0" borderId="71" xfId="0" applyFont="1" applyBorder="1" applyAlignment="1">
      <alignment vertical="top"/>
    </xf>
    <xf numFmtId="167" fontId="2" fillId="0" borderId="80" xfId="0" applyNumberFormat="1" applyFont="1" applyBorder="1" applyAlignment="1">
      <alignment horizontal="right" vertical="top"/>
    </xf>
    <xf numFmtId="167" fontId="4" fillId="0" borderId="80" xfId="0" applyNumberFormat="1" applyFont="1" applyBorder="1" applyAlignment="1">
      <alignment horizontal="right" vertical="top"/>
    </xf>
    <xf numFmtId="167" fontId="4" fillId="0" borderId="80" xfId="0" applyNumberFormat="1" applyFont="1" applyBorder="1" applyAlignment="1">
      <alignment horizontal="right" vertical="center"/>
    </xf>
    <xf numFmtId="165" fontId="2" fillId="0" borderId="14" xfId="0" applyNumberFormat="1" applyFont="1" applyBorder="1" applyAlignment="1">
      <alignment horizontal="right" vertical="top"/>
    </xf>
    <xf numFmtId="0" fontId="14" fillId="0" borderId="0" xfId="0" applyFont="1" applyAlignment="1">
      <alignment horizontal="center"/>
    </xf>
    <xf numFmtId="0" fontId="2" fillId="0" borderId="3" xfId="0" applyFont="1" applyBorder="1" applyAlignment="1">
      <alignment horizontal="center"/>
    </xf>
    <xf numFmtId="0" fontId="2" fillId="0" borderId="9" xfId="0" applyFont="1" applyBorder="1" applyAlignment="1">
      <alignment horizontal="left" vertical="top" wrapText="1"/>
    </xf>
    <xf numFmtId="176" fontId="15" fillId="10" borderId="74" xfId="0" applyNumberFormat="1" applyFont="1" applyFill="1" applyBorder="1" applyAlignment="1">
      <alignment horizontal="right" vertical="center"/>
    </xf>
    <xf numFmtId="176" fontId="15" fillId="10" borderId="11" xfId="0" applyNumberFormat="1" applyFont="1" applyFill="1" applyBorder="1" applyAlignment="1">
      <alignment horizontal="right" vertical="center"/>
    </xf>
    <xf numFmtId="176" fontId="15" fillId="10" borderId="23" xfId="0" applyNumberFormat="1" applyFont="1" applyFill="1" applyBorder="1" applyAlignment="1">
      <alignment horizontal="right" vertical="center"/>
    </xf>
    <xf numFmtId="0" fontId="45" fillId="0" borderId="3" xfId="0" applyFont="1" applyBorder="1" applyAlignment="1">
      <alignment horizontal="right" vertical="center"/>
    </xf>
    <xf numFmtId="0" fontId="45" fillId="0" borderId="64" xfId="0" applyFont="1" applyBorder="1" applyAlignment="1">
      <alignment horizontal="right" vertical="center"/>
    </xf>
    <xf numFmtId="165" fontId="15" fillId="10" borderId="126" xfId="0" applyNumberFormat="1" applyFont="1" applyFill="1" applyBorder="1" applyAlignment="1">
      <alignment horizontal="right" vertical="center"/>
    </xf>
    <xf numFmtId="165" fontId="15" fillId="10" borderId="127" xfId="0" applyNumberFormat="1" applyFont="1" applyFill="1" applyBorder="1" applyAlignment="1">
      <alignment horizontal="right" vertical="center"/>
    </xf>
    <xf numFmtId="165" fontId="15" fillId="10" borderId="22" xfId="0" applyNumberFormat="1" applyFont="1" applyFill="1" applyBorder="1" applyAlignment="1">
      <alignment horizontal="right" vertical="center"/>
    </xf>
    <xf numFmtId="165" fontId="15" fillId="10" borderId="23" xfId="0" applyNumberFormat="1" applyFont="1" applyFill="1" applyBorder="1" applyAlignment="1">
      <alignment horizontal="right" vertical="center"/>
    </xf>
    <xf numFmtId="166" fontId="15" fillId="12" borderId="31" xfId="0" applyNumberFormat="1" applyFont="1" applyFill="1" applyBorder="1" applyAlignment="1">
      <alignment horizontal="right" vertical="center"/>
    </xf>
    <xf numFmtId="166" fontId="15" fillId="12" borderId="30" xfId="0" applyNumberFormat="1" applyFont="1" applyFill="1" applyBorder="1" applyAlignment="1">
      <alignment horizontal="right" vertical="center"/>
    </xf>
    <xf numFmtId="166" fontId="15" fillId="12" borderId="32" xfId="0" applyNumberFormat="1" applyFont="1" applyFill="1" applyBorder="1" applyAlignment="1">
      <alignment horizontal="right" vertical="center"/>
    </xf>
    <xf numFmtId="166" fontId="15" fillId="17" borderId="132" xfId="0" applyNumberFormat="1" applyFont="1" applyFill="1" applyBorder="1" applyAlignment="1">
      <alignment horizontal="right" vertical="center"/>
    </xf>
    <xf numFmtId="166" fontId="15" fillId="17" borderId="118" xfId="0" applyNumberFormat="1" applyFont="1" applyFill="1" applyBorder="1" applyAlignment="1">
      <alignment horizontal="right" vertical="center"/>
    </xf>
    <xf numFmtId="166" fontId="15" fillId="17" borderId="128" xfId="0" applyNumberFormat="1" applyFont="1" applyFill="1" applyBorder="1" applyAlignment="1">
      <alignment horizontal="right" vertical="center"/>
    </xf>
    <xf numFmtId="166" fontId="15" fillId="10" borderId="131" xfId="0" applyNumberFormat="1" applyFont="1" applyFill="1" applyBorder="1" applyAlignment="1">
      <alignment horizontal="right" vertical="center"/>
    </xf>
    <xf numFmtId="166" fontId="15" fillId="10" borderId="133" xfId="0" applyNumberFormat="1" applyFont="1" applyFill="1" applyBorder="1" applyAlignment="1">
      <alignment horizontal="right" vertical="center"/>
    </xf>
    <xf numFmtId="166" fontId="15" fillId="10" borderId="127" xfId="0" applyNumberFormat="1" applyFont="1" applyFill="1" applyBorder="1" applyAlignment="1">
      <alignment horizontal="right" vertical="center"/>
    </xf>
    <xf numFmtId="166" fontId="15" fillId="10" borderId="74" xfId="0" applyNumberFormat="1" applyFont="1" applyFill="1" applyBorder="1" applyAlignment="1">
      <alignment horizontal="right" vertical="center"/>
    </xf>
    <xf numFmtId="166" fontId="15" fillId="10" borderId="11" xfId="0" applyNumberFormat="1" applyFont="1" applyFill="1" applyBorder="1" applyAlignment="1">
      <alignment horizontal="right" vertical="center"/>
    </xf>
    <xf numFmtId="166" fontId="15" fillId="10" borderId="23" xfId="0" applyNumberFormat="1" applyFont="1" applyFill="1" applyBorder="1" applyAlignment="1">
      <alignment horizontal="right" vertical="center"/>
    </xf>
    <xf numFmtId="0" fontId="14" fillId="10" borderId="55" xfId="0" applyFont="1" applyFill="1" applyBorder="1" applyAlignment="1">
      <alignment horizontal="center"/>
    </xf>
    <xf numFmtId="0" fontId="14" fillId="10" borderId="116" xfId="0" applyFont="1" applyFill="1" applyBorder="1" applyAlignment="1">
      <alignment horizontal="center"/>
    </xf>
    <xf numFmtId="0" fontId="14" fillId="0" borderId="9" xfId="0" applyFont="1" applyBorder="1" applyAlignment="1">
      <alignment horizontal="left"/>
    </xf>
    <xf numFmtId="0" fontId="14" fillId="0" borderId="3" xfId="0" applyFont="1" applyBorder="1" applyAlignment="1">
      <alignment horizontal="left"/>
    </xf>
    <xf numFmtId="0" fontId="14" fillId="0" borderId="101" xfId="0" applyFont="1" applyBorder="1" applyAlignment="1">
      <alignment horizontal="left"/>
    </xf>
    <xf numFmtId="0" fontId="14" fillId="0" borderId="64" xfId="0" applyFont="1" applyBorder="1" applyAlignment="1">
      <alignment horizontal="left"/>
    </xf>
    <xf numFmtId="0" fontId="14" fillId="0" borderId="62" xfId="0" applyFont="1" applyBorder="1" applyAlignment="1">
      <alignment horizontal="right"/>
    </xf>
    <xf numFmtId="0" fontId="14" fillId="0" borderId="68" xfId="0" applyFont="1" applyBorder="1" applyAlignment="1">
      <alignment horizontal="right"/>
    </xf>
    <xf numFmtId="0" fontId="14" fillId="17" borderId="122" xfId="0" applyFont="1" applyFill="1" applyBorder="1" applyAlignment="1">
      <alignment horizontal="center"/>
    </xf>
    <xf numFmtId="0" fontId="14" fillId="17" borderId="123" xfId="0" applyFont="1" applyFill="1" applyBorder="1" applyAlignment="1">
      <alignment horizontal="center"/>
    </xf>
    <xf numFmtId="0" fontId="14" fillId="17" borderId="124" xfId="0" applyFont="1" applyFill="1" applyBorder="1" applyAlignment="1">
      <alignment horizontal="center"/>
    </xf>
    <xf numFmtId="0" fontId="15" fillId="0" borderId="3" xfId="0" applyFont="1" applyBorder="1" applyAlignment="1">
      <alignment horizontal="center"/>
    </xf>
    <xf numFmtId="0" fontId="15" fillId="0" borderId="0" xfId="0" applyFont="1" applyAlignment="1">
      <alignment horizontal="center"/>
    </xf>
    <xf numFmtId="166" fontId="81" fillId="0" borderId="12" xfId="0" applyNumberFormat="1" applyFont="1" applyBorder="1" applyAlignment="1">
      <alignment horizontal="right" vertical="center"/>
    </xf>
    <xf numFmtId="166" fontId="81" fillId="0" borderId="14" xfId="0" applyNumberFormat="1" applyFont="1" applyBorder="1" applyAlignment="1">
      <alignment horizontal="right" vertical="center"/>
    </xf>
    <xf numFmtId="0" fontId="15" fillId="0" borderId="9" xfId="0" applyFont="1" applyBorder="1" applyAlignment="1">
      <alignment horizontal="left" vertical="top"/>
    </xf>
    <xf numFmtId="0" fontId="15" fillId="0" borderId="0" xfId="0" applyFont="1" applyAlignment="1">
      <alignment horizontal="left" vertical="top" wrapText="1"/>
    </xf>
    <xf numFmtId="0" fontId="27" fillId="0" borderId="89" xfId="0" applyFont="1" applyBorder="1" applyAlignment="1">
      <alignment horizontal="right" wrapText="1"/>
    </xf>
    <xf numFmtId="0" fontId="27" fillId="0" borderId="60" xfId="0" applyFont="1" applyBorder="1" applyAlignment="1">
      <alignment horizontal="right" wrapText="1"/>
    </xf>
    <xf numFmtId="0" fontId="27" fillId="0" borderId="90" xfId="0" applyFont="1" applyBorder="1" applyAlignment="1">
      <alignment horizontal="right" wrapText="1"/>
    </xf>
    <xf numFmtId="0" fontId="27" fillId="0" borderId="9" xfId="0" applyFont="1" applyBorder="1" applyAlignment="1">
      <alignment horizontal="right" wrapText="1"/>
    </xf>
    <xf numFmtId="0" fontId="27" fillId="0" borderId="0" xfId="0" applyFont="1" applyAlignment="1">
      <alignment horizontal="right" wrapText="1"/>
    </xf>
    <xf numFmtId="0" fontId="27" fillId="0" borderId="10" xfId="0" applyFont="1" applyBorder="1" applyAlignment="1">
      <alignment horizontal="right" wrapText="1"/>
    </xf>
    <xf numFmtId="0" fontId="27" fillId="0" borderId="13" xfId="0" applyFont="1" applyBorder="1" applyAlignment="1">
      <alignment horizontal="center" wrapText="1"/>
    </xf>
    <xf numFmtId="0" fontId="27" fillId="0" borderId="12" xfId="0" applyFont="1" applyBorder="1" applyAlignment="1">
      <alignment horizontal="center" wrapText="1"/>
    </xf>
    <xf numFmtId="0" fontId="27" fillId="0" borderId="14" xfId="0" applyFont="1" applyBorder="1" applyAlignment="1">
      <alignment horizontal="center" wrapText="1"/>
    </xf>
    <xf numFmtId="0" fontId="27" fillId="8" borderId="14" xfId="0" applyFont="1" applyFill="1" applyBorder="1" applyAlignment="1">
      <alignment horizontal="center" wrapText="1"/>
    </xf>
    <xf numFmtId="0" fontId="27" fillId="8" borderId="32" xfId="0" applyFont="1" applyFill="1" applyBorder="1" applyAlignment="1">
      <alignment horizontal="center" wrapText="1"/>
    </xf>
    <xf numFmtId="0" fontId="15" fillId="0" borderId="9" xfId="0" applyFont="1" applyBorder="1" applyAlignment="1">
      <alignment horizontal="left" wrapText="1" indent="1"/>
    </xf>
    <xf numFmtId="0" fontId="15" fillId="0" borderId="0" xfId="0" applyFont="1" applyAlignment="1">
      <alignment horizontal="left" indent="1"/>
    </xf>
    <xf numFmtId="0" fontId="15" fillId="0" borderId="10" xfId="0" applyFont="1" applyBorder="1" applyAlignment="1">
      <alignment horizontal="left" indent="1"/>
    </xf>
    <xf numFmtId="0" fontId="43" fillId="0" borderId="9" xfId="0" applyFont="1" applyBorder="1" applyAlignment="1">
      <alignment horizontal="right" wrapText="1"/>
    </xf>
    <xf numFmtId="0" fontId="43" fillId="0" borderId="0" xfId="0" applyFont="1" applyAlignment="1">
      <alignment horizontal="right" wrapText="1"/>
    </xf>
    <xf numFmtId="0" fontId="43" fillId="0" borderId="10" xfId="0" applyFont="1" applyBorder="1" applyAlignment="1">
      <alignment horizontal="right" wrapText="1"/>
    </xf>
    <xf numFmtId="0" fontId="27" fillId="0" borderId="70" xfId="0" applyFont="1" applyBorder="1" applyAlignment="1">
      <alignment horizontal="right" wrapText="1"/>
    </xf>
    <xf numFmtId="0" fontId="27" fillId="0" borderId="80" xfId="0" applyFont="1" applyBorder="1" applyAlignment="1">
      <alignment horizontal="right" wrapText="1"/>
    </xf>
    <xf numFmtId="0" fontId="27" fillId="0" borderId="71" xfId="0" applyFont="1" applyBorder="1" applyAlignment="1">
      <alignment horizontal="right" wrapText="1"/>
    </xf>
    <xf numFmtId="0" fontId="27" fillId="16" borderId="21" xfId="0" applyFont="1" applyFill="1" applyBorder="1" applyAlignment="1">
      <alignment horizontal="center" wrapText="1"/>
    </xf>
    <xf numFmtId="0" fontId="27" fillId="16" borderId="8" xfId="0" applyFont="1" applyFill="1" applyBorder="1" applyAlignment="1">
      <alignment horizontal="center" wrapText="1"/>
    </xf>
    <xf numFmtId="0" fontId="27" fillId="16" borderId="33" xfId="0" applyFont="1" applyFill="1" applyBorder="1" applyAlignment="1">
      <alignment horizontal="center" wrapText="1"/>
    </xf>
    <xf numFmtId="0" fontId="27" fillId="13" borderId="14" xfId="0" applyFont="1" applyFill="1" applyBorder="1" applyAlignment="1">
      <alignment horizontal="center" wrapText="1"/>
    </xf>
    <xf numFmtId="0" fontId="27" fillId="13" borderId="32" xfId="0" applyFont="1" applyFill="1"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right" wrapText="1" indent="1"/>
    </xf>
    <xf numFmtId="0" fontId="4" fillId="0" borderId="10" xfId="0" applyFont="1" applyBorder="1" applyAlignment="1">
      <alignment horizontal="right" wrapText="1" indent="1"/>
    </xf>
    <xf numFmtId="0" fontId="4" fillId="0" borderId="9" xfId="0" applyFont="1" applyBorder="1" applyAlignment="1">
      <alignment horizontal="right" wrapText="1"/>
    </xf>
    <xf numFmtId="0" fontId="4" fillId="0" borderId="10" xfId="0" applyFont="1" applyBorder="1" applyAlignment="1">
      <alignment horizontal="right" wrapText="1"/>
    </xf>
    <xf numFmtId="0" fontId="14" fillId="0" borderId="12" xfId="0" applyFont="1" applyBorder="1" applyAlignment="1">
      <alignment horizontal="right" wrapText="1"/>
    </xf>
    <xf numFmtId="0" fontId="14" fillId="0" borderId="14" xfId="0" applyFont="1" applyBorder="1" applyAlignment="1">
      <alignment horizontal="right" wrapText="1"/>
    </xf>
    <xf numFmtId="0" fontId="14" fillId="0" borderId="84" xfId="0" applyFont="1" applyBorder="1" applyAlignment="1">
      <alignment horizontal="right" wrapText="1"/>
    </xf>
    <xf numFmtId="0" fontId="14" fillId="0" borderId="87" xfId="0" applyFont="1" applyBorder="1" applyAlignment="1">
      <alignment horizontal="right"/>
    </xf>
    <xf numFmtId="0" fontId="14" fillId="0" borderId="21" xfId="0" applyFont="1" applyBorder="1" applyAlignment="1">
      <alignment horizontal="center"/>
    </xf>
    <xf numFmtId="0" fontId="14" fillId="0" borderId="8" xfId="0" applyFont="1" applyBorder="1" applyAlignment="1">
      <alignment horizontal="center"/>
    </xf>
    <xf numFmtId="0" fontId="14" fillId="0" borderId="93" xfId="0" applyFont="1" applyBorder="1" applyAlignment="1">
      <alignment horizontal="right" wrapText="1"/>
    </xf>
    <xf numFmtId="0" fontId="14" fillId="0" borderId="89" xfId="0" applyFont="1" applyBorder="1" applyAlignment="1">
      <alignment horizontal="right" wrapText="1"/>
    </xf>
    <xf numFmtId="0" fontId="14" fillId="0" borderId="60" xfId="0" applyFont="1" applyBorder="1" applyAlignment="1">
      <alignment horizontal="right" wrapText="1"/>
    </xf>
    <xf numFmtId="0" fontId="14" fillId="0" borderId="90" xfId="0" applyFont="1" applyBorder="1" applyAlignment="1">
      <alignment horizontal="right" wrapText="1"/>
    </xf>
    <xf numFmtId="0" fontId="14" fillId="0" borderId="13" xfId="0" applyFont="1" applyBorder="1" applyAlignment="1">
      <alignment horizontal="right" wrapText="1"/>
    </xf>
    <xf numFmtId="0" fontId="14" fillId="0" borderId="12" xfId="0" applyFont="1" applyBorder="1" applyAlignment="1">
      <alignment horizontal="right"/>
    </xf>
    <xf numFmtId="0" fontId="14" fillId="0" borderId="14" xfId="0" applyFont="1" applyBorder="1" applyAlignment="1">
      <alignment horizontal="right"/>
    </xf>
    <xf numFmtId="0" fontId="14" fillId="0" borderId="0" xfId="0" applyFont="1" applyAlignment="1">
      <alignment horizontal="left"/>
    </xf>
    <xf numFmtId="0" fontId="14" fillId="0" borderId="10" xfId="0" applyFont="1" applyBorder="1" applyAlignment="1">
      <alignment horizontal="left"/>
    </xf>
    <xf numFmtId="0" fontId="14" fillId="0" borderId="9" xfId="0" applyFont="1" applyBorder="1" applyAlignment="1">
      <alignment horizontal="center" wrapText="1"/>
    </xf>
    <xf numFmtId="0" fontId="14" fillId="0" borderId="0" xfId="0" applyFont="1" applyAlignment="1">
      <alignment horizontal="center" wrapText="1"/>
    </xf>
    <xf numFmtId="0" fontId="14" fillId="0" borderId="10" xfId="0" applyFont="1" applyBorder="1" applyAlignment="1">
      <alignment horizontal="center" wrapText="1"/>
    </xf>
    <xf numFmtId="0" fontId="14" fillId="0" borderId="86" xfId="0" applyFont="1" applyBorder="1" applyAlignment="1">
      <alignment horizontal="right" wrapText="1"/>
    </xf>
    <xf numFmtId="0" fontId="14" fillId="0" borderId="84" xfId="0" applyFont="1" applyBorder="1" applyAlignment="1">
      <alignment horizontal="right"/>
    </xf>
    <xf numFmtId="0" fontId="14" fillId="0" borderId="87" xfId="0" applyFont="1" applyBorder="1" applyAlignment="1">
      <alignment horizontal="right" wrapText="1"/>
    </xf>
    <xf numFmtId="0" fontId="33" fillId="2" borderId="9" xfId="0" applyFont="1" applyFill="1" applyBorder="1" applyAlignment="1">
      <alignment horizontal="right" wrapText="1"/>
    </xf>
    <xf numFmtId="0" fontId="33" fillId="2" borderId="0" xfId="0" applyFont="1" applyFill="1" applyAlignment="1">
      <alignment horizontal="right" wrapText="1"/>
    </xf>
    <xf numFmtId="0" fontId="33" fillId="2" borderId="10" xfId="0" applyFont="1" applyFill="1" applyBorder="1" applyAlignment="1">
      <alignment horizontal="right" wrapText="1"/>
    </xf>
    <xf numFmtId="0" fontId="2" fillId="0" borderId="9" xfId="0" applyFont="1" applyBorder="1" applyAlignment="1">
      <alignment horizontal="right" wrapText="1"/>
    </xf>
    <xf numFmtId="0" fontId="2" fillId="0" borderId="0" xfId="0" applyFont="1" applyAlignment="1">
      <alignment horizontal="right" wrapText="1"/>
    </xf>
    <xf numFmtId="0" fontId="2" fillId="0" borderId="10" xfId="0" applyFont="1" applyBorder="1" applyAlignment="1">
      <alignment horizontal="right" wrapText="1"/>
    </xf>
    <xf numFmtId="0" fontId="2" fillId="0" borderId="21" xfId="0" applyFont="1" applyBorder="1" applyAlignment="1">
      <alignment horizontal="center"/>
    </xf>
    <xf numFmtId="0" fontId="2" fillId="0" borderId="8" xfId="0" applyFont="1" applyBorder="1" applyAlignment="1">
      <alignment horizontal="center"/>
    </xf>
    <xf numFmtId="0" fontId="2" fillId="0" borderId="12" xfId="0" applyFont="1" applyBorder="1" applyAlignment="1">
      <alignment horizontal="center"/>
    </xf>
    <xf numFmtId="0" fontId="2" fillId="0" borderId="0" xfId="0" applyFont="1" applyAlignment="1">
      <alignment horizontal="center"/>
    </xf>
    <xf numFmtId="0" fontId="36" fillId="0" borderId="0" xfId="0" applyFont="1" applyAlignment="1">
      <alignment horizontal="left" wrapText="1"/>
    </xf>
    <xf numFmtId="0" fontId="86" fillId="0" borderId="9" xfId="0" applyFont="1" applyBorder="1" applyAlignment="1">
      <alignment horizontal="left" vertical="top"/>
    </xf>
    <xf numFmtId="0" fontId="2" fillId="0" borderId="9" xfId="0" applyFont="1" applyBorder="1" applyAlignment="1">
      <alignment horizontal="left" vertical="top"/>
    </xf>
    <xf numFmtId="0" fontId="4" fillId="0" borderId="12" xfId="0" applyFont="1" applyBorder="1" applyAlignment="1">
      <alignment horizontal="right" wrapText="1"/>
    </xf>
    <xf numFmtId="0" fontId="4" fillId="0" borderId="14" xfId="0" applyFont="1" applyBorder="1" applyAlignment="1">
      <alignment horizontal="right" wrapText="1"/>
    </xf>
    <xf numFmtId="0" fontId="85" fillId="0" borderId="26" xfId="0" applyFont="1" applyBorder="1" applyAlignment="1">
      <alignment horizontal="center" vertical="center" wrapText="1"/>
    </xf>
    <xf numFmtId="0" fontId="4" fillId="0" borderId="0" xfId="0" applyFont="1" applyAlignment="1">
      <alignment horizontal="right" wrapText="1"/>
    </xf>
    <xf numFmtId="0" fontId="4" fillId="0" borderId="0" xfId="0" applyFont="1" applyAlignment="1">
      <alignment horizontal="center"/>
    </xf>
    <xf numFmtId="0" fontId="85" fillId="0" borderId="74" xfId="0" applyFont="1" applyBorder="1" applyAlignment="1">
      <alignment horizontal="right" wrapText="1"/>
    </xf>
    <xf numFmtId="0" fontId="85" fillId="0" borderId="11" xfId="0" applyFont="1" applyBorder="1" applyAlignment="1">
      <alignment horizontal="right" wrapText="1"/>
    </xf>
    <xf numFmtId="0" fontId="85" fillId="0" borderId="23" xfId="0" applyFont="1" applyBorder="1" applyAlignment="1">
      <alignment horizontal="right" wrapText="1"/>
    </xf>
    <xf numFmtId="0" fontId="4" fillId="0" borderId="3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9" xfId="0" applyFont="1" applyBorder="1" applyAlignment="1">
      <alignment horizontal="center" vertical="center" wrapText="1"/>
    </xf>
    <xf numFmtId="0" fontId="85" fillId="0" borderId="60" xfId="0" applyFont="1" applyBorder="1" applyAlignment="1">
      <alignment horizontal="right" wrapText="1"/>
    </xf>
    <xf numFmtId="0" fontId="85" fillId="0" borderId="90" xfId="0" applyFont="1" applyBorder="1" applyAlignment="1">
      <alignment horizontal="right" wrapText="1"/>
    </xf>
    <xf numFmtId="0" fontId="85" fillId="0" borderId="12" xfId="0" applyFont="1" applyBorder="1" applyAlignment="1">
      <alignment horizontal="right" wrapText="1"/>
    </xf>
    <xf numFmtId="0" fontId="85" fillId="0" borderId="14" xfId="0" applyFont="1" applyBorder="1" applyAlignment="1">
      <alignment horizontal="right" wrapText="1"/>
    </xf>
    <xf numFmtId="0" fontId="85" fillId="0" borderId="30" xfId="0" applyFont="1" applyBorder="1" applyAlignment="1">
      <alignment horizontal="right" wrapText="1"/>
    </xf>
    <xf numFmtId="0" fontId="85" fillId="0" borderId="32" xfId="0" applyFont="1" applyBorder="1" applyAlignment="1">
      <alignment horizontal="right" wrapText="1"/>
    </xf>
    <xf numFmtId="0" fontId="85" fillId="0" borderId="0" xfId="0" applyFont="1" applyAlignment="1">
      <alignment horizontal="right" wrapText="1"/>
    </xf>
    <xf numFmtId="0" fontId="85" fillId="0" borderId="10" xfId="0" applyFont="1" applyBorder="1" applyAlignment="1">
      <alignment horizontal="right" wrapText="1"/>
    </xf>
    <xf numFmtId="0" fontId="85" fillId="0" borderId="28" xfId="0" applyFont="1" applyBorder="1" applyAlignment="1">
      <alignment horizontal="right" wrapText="1"/>
    </xf>
    <xf numFmtId="0" fontId="85" fillId="0" borderId="131" xfId="0" applyFont="1" applyBorder="1" applyAlignment="1">
      <alignment horizontal="right" wrapText="1"/>
    </xf>
    <xf numFmtId="0" fontId="85" fillId="0" borderId="133" xfId="0" applyFont="1" applyBorder="1" applyAlignment="1">
      <alignment horizontal="right" wrapText="1"/>
    </xf>
    <xf numFmtId="0" fontId="85" fillId="0" borderId="127" xfId="0" applyFont="1" applyBorder="1" applyAlignment="1">
      <alignment horizontal="right" wrapText="1"/>
    </xf>
    <xf numFmtId="0" fontId="86" fillId="0" borderId="9" xfId="0" applyFont="1" applyBorder="1" applyAlignment="1">
      <alignment vertical="top" wrapText="1"/>
    </xf>
    <xf numFmtId="0" fontId="2" fillId="0" borderId="9" xfId="0" applyFont="1" applyBorder="1" applyAlignment="1">
      <alignment vertical="top" wrapText="1"/>
    </xf>
    <xf numFmtId="0" fontId="85" fillId="0" borderId="29" xfId="0" applyFont="1" applyBorder="1" applyAlignment="1">
      <alignment horizontal="center" vertical="center" wrapText="1"/>
    </xf>
    <xf numFmtId="0" fontId="85" fillId="0" borderId="130" xfId="0" applyFont="1" applyBorder="1" applyAlignment="1">
      <alignment horizontal="center" vertical="center" wrapText="1"/>
    </xf>
    <xf numFmtId="0" fontId="85" fillId="0" borderId="12" xfId="0" applyFont="1" applyBorder="1" applyAlignment="1">
      <alignment horizontal="center" vertical="center" wrapText="1"/>
    </xf>
    <xf numFmtId="0" fontId="85" fillId="0" borderId="63" xfId="0" applyFont="1" applyBorder="1" applyAlignment="1">
      <alignment horizontal="center" vertical="center" wrapText="1"/>
    </xf>
    <xf numFmtId="0" fontId="20" fillId="0" borderId="9" xfId="0" applyFont="1" applyBorder="1" applyAlignment="1">
      <alignment horizontal="left" vertical="top"/>
    </xf>
    <xf numFmtId="0" fontId="4" fillId="0" borderId="30" xfId="0" applyFont="1" applyBorder="1" applyAlignment="1">
      <alignment horizontal="right" wrapText="1"/>
    </xf>
    <xf numFmtId="0" fontId="4" fillId="0" borderId="32" xfId="0" applyFont="1" applyBorder="1" applyAlignment="1">
      <alignment horizontal="right" wrapText="1"/>
    </xf>
    <xf numFmtId="0" fontId="4" fillId="0" borderId="28" xfId="0" applyFont="1" applyBorder="1" applyAlignment="1">
      <alignment horizontal="right" wrapText="1"/>
    </xf>
    <xf numFmtId="0" fontId="4" fillId="0" borderId="99" xfId="0" applyFont="1" applyBorder="1" applyAlignment="1">
      <alignment horizontal="right" wrapText="1"/>
    </xf>
    <xf numFmtId="0" fontId="4" fillId="0" borderId="60" xfId="0" applyFont="1" applyBorder="1" applyAlignment="1">
      <alignment horizontal="right" wrapText="1"/>
    </xf>
    <xf numFmtId="0" fontId="4" fillId="0" borderId="90" xfId="0" applyFont="1" applyBorder="1" applyAlignment="1">
      <alignment horizontal="right" wrapText="1"/>
    </xf>
    <xf numFmtId="0" fontId="85" fillId="0" borderId="99" xfId="0" applyFont="1" applyBorder="1" applyAlignment="1">
      <alignment horizontal="right" wrapText="1"/>
    </xf>
    <xf numFmtId="0" fontId="4" fillId="0" borderId="31" xfId="0" applyFont="1" applyBorder="1" applyAlignment="1">
      <alignment horizontal="right" wrapText="1"/>
    </xf>
    <xf numFmtId="0" fontId="15" fillId="0" borderId="0" xfId="0" applyFont="1"/>
    <xf numFmtId="0" fontId="2" fillId="0" borderId="0" xfId="0" applyFont="1" applyAlignment="1">
      <alignment horizontal="left" vertical="top" wrapText="1"/>
    </xf>
    <xf numFmtId="0" fontId="15" fillId="0" borderId="9" xfId="0" applyFont="1" applyBorder="1" applyAlignment="1">
      <alignment horizontal="right" wrapText="1"/>
    </xf>
    <xf numFmtId="0" fontId="15" fillId="0" borderId="3" xfId="0" applyFont="1" applyBorder="1" applyAlignment="1">
      <alignment horizontal="right" wrapText="1"/>
    </xf>
    <xf numFmtId="0" fontId="15" fillId="0" borderId="3" xfId="0" applyFont="1" applyBorder="1" applyAlignment="1">
      <alignment horizontal="center" vertical="top"/>
    </xf>
    <xf numFmtId="0" fontId="15" fillId="0" borderId="62" xfId="0" applyFont="1" applyBorder="1" applyAlignment="1">
      <alignment horizontal="center"/>
    </xf>
    <xf numFmtId="0" fontId="15" fillId="0" borderId="68" xfId="0" applyFont="1" applyBorder="1" applyAlignment="1">
      <alignment horizontal="center"/>
    </xf>
    <xf numFmtId="0" fontId="14" fillId="0" borderId="62" xfId="0" applyFont="1" applyBorder="1" applyAlignment="1">
      <alignment horizontal="right" wrapText="1"/>
    </xf>
    <xf numFmtId="0" fontId="14" fillId="0" borderId="68" xfId="0" applyFont="1" applyBorder="1" applyAlignment="1">
      <alignment horizontal="right" wrapText="1"/>
    </xf>
    <xf numFmtId="0" fontId="14" fillId="0" borderId="9" xfId="0" applyFont="1" applyBorder="1" applyAlignment="1">
      <alignment horizontal="right" wrapText="1"/>
    </xf>
    <xf numFmtId="0" fontId="14" fillId="0" borderId="3" xfId="0" applyFont="1" applyBorder="1" applyAlignment="1">
      <alignment horizontal="right" wrapText="1"/>
    </xf>
    <xf numFmtId="0" fontId="14" fillId="0" borderId="96" xfId="0" applyFont="1" applyBorder="1" applyAlignment="1">
      <alignment horizontal="right" wrapText="1"/>
    </xf>
    <xf numFmtId="0" fontId="14" fillId="0" borderId="79" xfId="0" applyFont="1" applyBorder="1" applyAlignment="1">
      <alignment horizontal="right" wrapText="1"/>
    </xf>
    <xf numFmtId="0" fontId="14" fillId="12" borderId="9" xfId="0" applyFont="1" applyFill="1" applyBorder="1" applyAlignment="1">
      <alignment horizontal="right" wrapText="1"/>
    </xf>
    <xf numFmtId="0" fontId="14" fillId="12" borderId="3" xfId="0" applyFont="1" applyFill="1" applyBorder="1" applyAlignment="1">
      <alignment horizontal="right" wrapText="1"/>
    </xf>
    <xf numFmtId="0" fontId="20" fillId="0" borderId="0" xfId="0" applyFont="1" applyAlignment="1">
      <alignment horizontal="left" vertical="top" wrapText="1"/>
    </xf>
    <xf numFmtId="0" fontId="14" fillId="0" borderId="17" xfId="0" applyFont="1" applyBorder="1" applyAlignment="1">
      <alignment horizontal="right" wrapText="1"/>
    </xf>
    <xf numFmtId="0" fontId="29" fillId="0" borderId="0" xfId="3" applyFont="1" applyAlignment="1">
      <alignment horizontal="center"/>
    </xf>
    <xf numFmtId="0" fontId="27" fillId="0" borderId="102" xfId="3" applyFont="1" applyBorder="1" applyAlignment="1">
      <alignment horizontal="center"/>
    </xf>
    <xf numFmtId="0" fontId="29" fillId="0" borderId="104" xfId="3" applyFont="1" applyBorder="1" applyAlignment="1">
      <alignment horizontal="center" vertical="center" wrapText="1"/>
    </xf>
    <xf numFmtId="0" fontId="29" fillId="0" borderId="28" xfId="3" applyFont="1" applyBorder="1" applyAlignment="1">
      <alignment horizontal="right" wrapText="1"/>
    </xf>
    <xf numFmtId="0" fontId="29" fillId="0" borderId="10" xfId="3" applyFont="1" applyBorder="1" applyAlignment="1">
      <alignment horizontal="right" wrapText="1"/>
    </xf>
    <xf numFmtId="0" fontId="29" fillId="0" borderId="25" xfId="3" applyFont="1" applyBorder="1" applyAlignment="1">
      <alignment horizontal="center" wrapText="1"/>
    </xf>
    <xf numFmtId="0" fontId="29" fillId="0" borderId="107" xfId="3" applyFont="1" applyBorder="1" applyAlignment="1">
      <alignment horizontal="center" wrapText="1"/>
    </xf>
    <xf numFmtId="0" fontId="16" fillId="0" borderId="115" xfId="3" applyFont="1" applyBorder="1" applyAlignment="1">
      <alignment horizontal="left"/>
    </xf>
    <xf numFmtId="0" fontId="29" fillId="0" borderId="106" xfId="3" applyFont="1" applyBorder="1" applyAlignment="1">
      <alignment horizontal="right" wrapText="1"/>
    </xf>
    <xf numFmtId="0" fontId="29" fillId="0" borderId="108" xfId="3" applyFont="1" applyBorder="1" applyAlignment="1">
      <alignment horizontal="right" wrapText="1"/>
    </xf>
    <xf numFmtId="0" fontId="79" fillId="0" borderId="56" xfId="3" applyFont="1" applyBorder="1" applyAlignment="1">
      <alignment horizontal="center"/>
    </xf>
    <xf numFmtId="0" fontId="2" fillId="0" borderId="0" xfId="0" applyFont="1" applyAlignment="1">
      <alignment horizontal="left"/>
    </xf>
    <xf numFmtId="0" fontId="43" fillId="0" borderId="96" xfId="0" applyFont="1" applyBorder="1" applyAlignment="1">
      <alignment horizontal="right" wrapText="1"/>
    </xf>
    <xf numFmtId="0" fontId="43" fillId="0" borderId="79" xfId="0" applyFont="1" applyBorder="1" applyAlignment="1">
      <alignment horizontal="right" wrapText="1"/>
    </xf>
    <xf numFmtId="0" fontId="15" fillId="0" borderId="41" xfId="0" applyFont="1" applyBorder="1" applyAlignment="1">
      <alignment horizontal="center"/>
    </xf>
    <xf numFmtId="0" fontId="15" fillId="0" borderId="65" xfId="0" applyFont="1" applyBorder="1" applyAlignment="1">
      <alignment horizontal="center"/>
    </xf>
    <xf numFmtId="0" fontId="15" fillId="0" borderId="9" xfId="0" applyFont="1" applyBorder="1" applyAlignment="1">
      <alignment horizontal="center"/>
    </xf>
    <xf numFmtId="0" fontId="27" fillId="0" borderId="70" xfId="3" applyFont="1" applyBorder="1" applyAlignment="1">
      <alignment horizontal="right" wrapText="1"/>
    </xf>
    <xf numFmtId="0" fontId="27" fillId="0" borderId="80" xfId="3" applyFont="1" applyBorder="1" applyAlignment="1">
      <alignment horizontal="right" wrapText="1"/>
    </xf>
    <xf numFmtId="0" fontId="27" fillId="0" borderId="81" xfId="3" applyFont="1" applyBorder="1" applyAlignment="1">
      <alignment horizontal="right" wrapText="1"/>
    </xf>
    <xf numFmtId="0" fontId="15" fillId="0" borderId="70" xfId="0" applyFont="1" applyBorder="1" applyAlignment="1">
      <alignment horizontal="right" wrapText="1"/>
    </xf>
    <xf numFmtId="0" fontId="15" fillId="0" borderId="80" xfId="0" applyFont="1" applyBorder="1" applyAlignment="1">
      <alignment horizontal="right" wrapText="1"/>
    </xf>
    <xf numFmtId="0" fontId="15" fillId="0" borderId="81" xfId="0" applyFont="1" applyBorder="1" applyAlignment="1">
      <alignment horizontal="right" wrapText="1"/>
    </xf>
    <xf numFmtId="0" fontId="15" fillId="0" borderId="101" xfId="0" applyFont="1" applyBorder="1" applyAlignment="1">
      <alignment horizontal="center"/>
    </xf>
    <xf numFmtId="0" fontId="15" fillId="0" borderId="70" xfId="0" applyFont="1" applyBorder="1" applyAlignment="1">
      <alignment horizontal="left" wrapText="1" indent="1"/>
    </xf>
    <xf numFmtId="0" fontId="15" fillId="0" borderId="80" xfId="0" applyFont="1" applyBorder="1" applyAlignment="1">
      <alignment horizontal="left" wrapText="1" indent="1"/>
    </xf>
    <xf numFmtId="0" fontId="15" fillId="0" borderId="81" xfId="0" applyFont="1" applyBorder="1" applyAlignment="1">
      <alignment horizontal="left" wrapText="1" indent="1"/>
    </xf>
    <xf numFmtId="0" fontId="43" fillId="0" borderId="70" xfId="3" applyFont="1" applyBorder="1" applyAlignment="1">
      <alignment horizontal="right" wrapText="1"/>
    </xf>
    <xf numFmtId="0" fontId="43" fillId="0" borderId="80" xfId="3" applyFont="1" applyBorder="1" applyAlignment="1">
      <alignment horizontal="right" wrapText="1"/>
    </xf>
    <xf numFmtId="0" fontId="43" fillId="0" borderId="81" xfId="3" applyFont="1" applyBorder="1" applyAlignment="1">
      <alignment horizontal="right" wrapText="1"/>
    </xf>
    <xf numFmtId="0" fontId="0" fillId="0" borderId="0" xfId="0" applyAlignment="1">
      <alignment horizontal="left" wrapText="1"/>
    </xf>
    <xf numFmtId="175" fontId="0" fillId="0" borderId="0" xfId="2" applyNumberFormat="1" applyFont="1" applyAlignment="1">
      <alignment horizontal="center" vertical="center"/>
    </xf>
    <xf numFmtId="0" fontId="15" fillId="12" borderId="38" xfId="0" applyFont="1" applyFill="1" applyBorder="1" applyAlignment="1">
      <alignment horizontal="center"/>
    </xf>
    <xf numFmtId="0" fontId="15" fillId="12" borderId="8" xfId="0" applyFont="1" applyFill="1" applyBorder="1" applyAlignment="1">
      <alignment horizontal="center"/>
    </xf>
    <xf numFmtId="0" fontId="15" fillId="12" borderId="39" xfId="0" applyFont="1" applyFill="1" applyBorder="1" applyAlignment="1">
      <alignment horizontal="center"/>
    </xf>
    <xf numFmtId="0" fontId="3" fillId="0" borderId="0" xfId="0" applyFont="1" applyAlignment="1">
      <alignment horizontal="left" vertical="top" wrapText="1"/>
    </xf>
    <xf numFmtId="0" fontId="15" fillId="2" borderId="38" xfId="0" applyFont="1" applyFill="1" applyBorder="1" applyAlignment="1">
      <alignment horizontal="center"/>
    </xf>
    <xf numFmtId="0" fontId="15" fillId="2" borderId="8" xfId="0" applyFont="1" applyFill="1" applyBorder="1" applyAlignment="1">
      <alignment horizontal="center"/>
    </xf>
    <xf numFmtId="0" fontId="15" fillId="2" borderId="39" xfId="0" applyFont="1" applyFill="1" applyBorder="1" applyAlignment="1">
      <alignment horizont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12" xfId="0" applyFont="1" applyBorder="1" applyAlignment="1">
      <alignment horizontal="center" vertical="center"/>
    </xf>
    <xf numFmtId="0" fontId="2" fillId="0" borderId="30" xfId="0" applyFont="1" applyBorder="1" applyAlignment="1">
      <alignment horizontal="center" vertical="center"/>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2" fillId="0" borderId="46" xfId="0" applyFont="1" applyBorder="1" applyAlignment="1">
      <alignment horizontal="right" wrapText="1"/>
    </xf>
    <xf numFmtId="0" fontId="2" fillId="0" borderId="46" xfId="0" applyFont="1" applyBorder="1" applyAlignment="1">
      <alignment horizontal="right"/>
    </xf>
    <xf numFmtId="0" fontId="2" fillId="0" borderId="47" xfId="0" applyFont="1" applyBorder="1" applyAlignment="1">
      <alignment horizontal="right"/>
    </xf>
    <xf numFmtId="0" fontId="2" fillId="0" borderId="51" xfId="0" applyFont="1" applyBorder="1" applyAlignment="1">
      <alignment horizontal="right" wrapText="1"/>
    </xf>
    <xf numFmtId="0" fontId="2" fillId="0" borderId="51" xfId="0" applyFont="1" applyBorder="1" applyAlignment="1">
      <alignment horizontal="right"/>
    </xf>
    <xf numFmtId="0" fontId="2" fillId="0" borderId="52" xfId="0" applyFont="1" applyBorder="1" applyAlignment="1">
      <alignment horizontal="right"/>
    </xf>
    <xf numFmtId="0" fontId="2" fillId="7" borderId="22" xfId="0" applyFont="1" applyFill="1" applyBorder="1" applyAlignment="1">
      <alignment horizontal="right" wrapText="1"/>
    </xf>
    <xf numFmtId="0" fontId="2" fillId="7" borderId="11" xfId="0" applyFont="1" applyFill="1" applyBorder="1" applyAlignment="1">
      <alignment horizontal="right" wrapText="1"/>
    </xf>
    <xf numFmtId="0" fontId="2" fillId="7" borderId="23" xfId="0" applyFont="1" applyFill="1" applyBorder="1" applyAlignment="1">
      <alignment horizontal="right" wrapText="1"/>
    </xf>
    <xf numFmtId="0" fontId="2" fillId="9" borderId="13" xfId="0" applyFont="1" applyFill="1" applyBorder="1" applyAlignment="1">
      <alignment horizontal="right" wrapText="1"/>
    </xf>
    <xf numFmtId="0" fontId="2" fillId="9" borderId="12" xfId="0" applyFont="1" applyFill="1" applyBorder="1" applyAlignment="1">
      <alignment horizontal="right" wrapText="1"/>
    </xf>
    <xf numFmtId="0" fontId="2" fillId="9" borderId="14" xfId="0" applyFont="1" applyFill="1" applyBorder="1" applyAlignment="1">
      <alignment horizontal="right" wrapText="1"/>
    </xf>
    <xf numFmtId="0" fontId="2" fillId="7" borderId="13" xfId="0" applyFont="1" applyFill="1" applyBorder="1" applyAlignment="1">
      <alignment horizontal="right" wrapText="1"/>
    </xf>
    <xf numFmtId="0" fontId="2" fillId="7" borderId="12" xfId="0" applyFont="1" applyFill="1" applyBorder="1" applyAlignment="1">
      <alignment horizontal="right" wrapText="1"/>
    </xf>
    <xf numFmtId="0" fontId="2" fillId="7" borderId="14" xfId="0" applyFont="1" applyFill="1" applyBorder="1" applyAlignment="1">
      <alignment horizontal="right" wrapText="1"/>
    </xf>
    <xf numFmtId="0" fontId="2" fillId="0" borderId="12" xfId="0" applyFont="1" applyBorder="1" applyAlignment="1">
      <alignment horizontal="right" wrapText="1"/>
    </xf>
    <xf numFmtId="0" fontId="2" fillId="0" borderId="14" xfId="0" applyFont="1" applyBorder="1" applyAlignment="1">
      <alignment horizontal="right" wrapText="1"/>
    </xf>
    <xf numFmtId="0" fontId="2" fillId="0" borderId="21" xfId="0" quotePrefix="1" applyFont="1" applyBorder="1" applyAlignment="1">
      <alignment horizontal="center" vertical="center"/>
    </xf>
    <xf numFmtId="0" fontId="2" fillId="0" borderId="8" xfId="0" quotePrefix="1" applyFont="1" applyBorder="1" applyAlignment="1">
      <alignment horizontal="center" vertical="center"/>
    </xf>
    <xf numFmtId="0" fontId="2" fillId="0" borderId="33" xfId="0" quotePrefix="1" applyFont="1" applyBorder="1" applyAlignment="1">
      <alignment horizontal="center" vertical="center"/>
    </xf>
    <xf numFmtId="0" fontId="2" fillId="11" borderId="22" xfId="0" applyFont="1" applyFill="1" applyBorder="1" applyAlignment="1">
      <alignment horizontal="right" wrapText="1"/>
    </xf>
    <xf numFmtId="0" fontId="2" fillId="11" borderId="11" xfId="0" applyFont="1" applyFill="1" applyBorder="1" applyAlignment="1">
      <alignment horizontal="right" wrapText="1"/>
    </xf>
    <xf numFmtId="0" fontId="2" fillId="11" borderId="23" xfId="0" applyFont="1" applyFill="1" applyBorder="1" applyAlignment="1">
      <alignment horizontal="right" wrapText="1"/>
    </xf>
    <xf numFmtId="0" fontId="2" fillId="9" borderId="22" xfId="0" applyFont="1" applyFill="1" applyBorder="1" applyAlignment="1">
      <alignment horizontal="right" wrapText="1"/>
    </xf>
    <xf numFmtId="0" fontId="2" fillId="9" borderId="11" xfId="0" applyFont="1" applyFill="1" applyBorder="1" applyAlignment="1">
      <alignment horizontal="right" wrapText="1"/>
    </xf>
    <xf numFmtId="0" fontId="2" fillId="9" borderId="23" xfId="0" applyFont="1" applyFill="1" applyBorder="1" applyAlignment="1">
      <alignment horizontal="right" wrapText="1"/>
    </xf>
    <xf numFmtId="0" fontId="2" fillId="0" borderId="22" xfId="0" applyFont="1" applyBorder="1" applyAlignment="1">
      <alignment horizontal="right" wrapText="1"/>
    </xf>
    <xf numFmtId="0" fontId="2" fillId="0" borderId="11" xfId="0" applyFont="1" applyBorder="1" applyAlignment="1">
      <alignment horizontal="right" wrapText="1"/>
    </xf>
    <xf numFmtId="0" fontId="2" fillId="0" borderId="23" xfId="0" applyFont="1" applyBorder="1" applyAlignment="1">
      <alignment horizontal="right" wrapText="1"/>
    </xf>
    <xf numFmtId="0" fontId="2" fillId="0" borderId="50" xfId="0" applyFont="1" applyBorder="1" applyAlignment="1">
      <alignment horizontal="right" wrapText="1"/>
    </xf>
    <xf numFmtId="0" fontId="2" fillId="0" borderId="0" xfId="0" applyFont="1" applyAlignment="1">
      <alignment horizontal="right"/>
    </xf>
    <xf numFmtId="0" fontId="2" fillId="0" borderId="10" xfId="0" applyFont="1" applyBorder="1" applyAlignment="1">
      <alignment horizontal="right"/>
    </xf>
    <xf numFmtId="165" fontId="2" fillId="2" borderId="29" xfId="0" applyNumberFormat="1" applyFont="1" applyFill="1" applyBorder="1" applyAlignment="1">
      <alignment horizontal="right" vertical="center"/>
    </xf>
    <xf numFmtId="165" fontId="2" fillId="2" borderId="16" xfId="0" applyNumberFormat="1" applyFont="1" applyFill="1" applyBorder="1" applyAlignment="1">
      <alignment horizontal="right"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165" fontId="4" fillId="10" borderId="74" xfId="0" applyNumberFormat="1" applyFont="1" applyFill="1" applyBorder="1" applyAlignment="1">
      <alignment horizontal="right" vertical="center"/>
    </xf>
    <xf numFmtId="165" fontId="4" fillId="10" borderId="24" xfId="0" applyNumberFormat="1" applyFont="1" applyFill="1" applyBorder="1" applyAlignment="1">
      <alignment horizontal="right" vertical="center"/>
    </xf>
    <xf numFmtId="167" fontId="2" fillId="2" borderId="31" xfId="0" applyNumberFormat="1" applyFont="1" applyFill="1" applyBorder="1" applyAlignment="1">
      <alignment horizontal="right" vertical="center"/>
    </xf>
    <xf numFmtId="167" fontId="2" fillId="2" borderId="34" xfId="0" applyNumberFormat="1" applyFont="1" applyFill="1" applyBorder="1" applyAlignment="1">
      <alignment horizontal="right" vertical="center"/>
    </xf>
    <xf numFmtId="165" fontId="4" fillId="6" borderId="74" xfId="0" applyNumberFormat="1" applyFont="1" applyFill="1" applyBorder="1" applyAlignment="1">
      <alignment horizontal="right" vertical="center"/>
    </xf>
    <xf numFmtId="165" fontId="4" fillId="6" borderId="24" xfId="0" applyNumberFormat="1" applyFont="1" applyFill="1" applyBorder="1" applyAlignment="1">
      <alignment horizontal="right" vertical="center"/>
    </xf>
    <xf numFmtId="165" fontId="4" fillId="0" borderId="74" xfId="0" applyNumberFormat="1" applyFont="1" applyBorder="1" applyAlignment="1">
      <alignment horizontal="right" vertical="center"/>
    </xf>
    <xf numFmtId="165" fontId="4" fillId="0" borderId="24" xfId="0" applyNumberFormat="1" applyFont="1" applyBorder="1" applyAlignment="1">
      <alignment horizontal="right" vertical="center"/>
    </xf>
    <xf numFmtId="0" fontId="2" fillId="0" borderId="13" xfId="0" applyFont="1" applyBorder="1" applyAlignment="1">
      <alignment horizontal="right" wrapText="1"/>
    </xf>
    <xf numFmtId="0" fontId="31" fillId="0" borderId="0" xfId="0" applyFont="1" applyAlignment="1">
      <alignment horizontal="center"/>
    </xf>
    <xf numFmtId="0" fontId="14" fillId="0" borderId="15" xfId="0" applyFont="1" applyBorder="1" applyAlignment="1">
      <alignment horizontal="left"/>
    </xf>
    <xf numFmtId="0" fontId="15" fillId="0" borderId="0" xfId="0" applyFont="1" applyAlignment="1">
      <alignment horizontal="right" wrapText="1"/>
    </xf>
    <xf numFmtId="0" fontId="15" fillId="0" borderId="10" xfId="0" applyFont="1" applyBorder="1" applyAlignment="1">
      <alignment horizontal="right" wrapText="1"/>
    </xf>
    <xf numFmtId="0" fontId="15" fillId="0" borderId="21" xfId="0" applyFont="1" applyBorder="1" applyAlignment="1">
      <alignment horizontal="center"/>
    </xf>
    <xf numFmtId="0" fontId="15" fillId="0" borderId="8" xfId="0" applyFont="1" applyBorder="1" applyAlignment="1">
      <alignment horizontal="center"/>
    </xf>
    <xf numFmtId="0" fontId="15" fillId="0" borderId="12" xfId="0" applyFont="1" applyBorder="1" applyAlignment="1">
      <alignment horizontal="center"/>
    </xf>
    <xf numFmtId="0" fontId="15" fillId="0" borderId="29" xfId="0" applyFont="1" applyBorder="1" applyAlignment="1">
      <alignment horizontal="center"/>
    </xf>
    <xf numFmtId="0" fontId="15" fillId="0" borderId="28" xfId="0" applyFont="1" applyBorder="1" applyAlignment="1">
      <alignment horizontal="center"/>
    </xf>
    <xf numFmtId="0" fontId="18" fillId="0" borderId="9" xfId="0" applyFont="1" applyBorder="1" applyAlignment="1">
      <alignment horizontal="left"/>
    </xf>
    <xf numFmtId="0" fontId="18" fillId="0" borderId="0" xfId="0" applyFont="1" applyAlignment="1">
      <alignment horizontal="left"/>
    </xf>
    <xf numFmtId="0" fontId="18" fillId="0" borderId="10" xfId="0" applyFont="1" applyBorder="1" applyAlignment="1">
      <alignment horizontal="left"/>
    </xf>
    <xf numFmtId="0" fontId="15" fillId="8" borderId="9" xfId="0" applyFont="1" applyFill="1" applyBorder="1" applyAlignment="1">
      <alignment horizontal="center" wrapText="1"/>
    </xf>
    <xf numFmtId="0" fontId="15" fillId="8" borderId="0" xfId="0" applyFont="1" applyFill="1" applyAlignment="1">
      <alignment horizontal="center" wrapText="1"/>
    </xf>
    <xf numFmtId="0" fontId="15" fillId="8" borderId="10" xfId="0" applyFont="1" applyFill="1" applyBorder="1" applyAlignment="1">
      <alignment horizontal="center" wrapText="1"/>
    </xf>
    <xf numFmtId="0" fontId="15" fillId="0" borderId="9" xfId="0" applyFont="1" applyBorder="1" applyAlignment="1">
      <alignment horizontal="center" wrapText="1"/>
    </xf>
    <xf numFmtId="0" fontId="15" fillId="0" borderId="0" xfId="0" applyFont="1" applyAlignment="1">
      <alignment horizontal="center" wrapText="1"/>
    </xf>
    <xf numFmtId="0" fontId="15" fillId="0" borderId="10" xfId="0" applyFont="1" applyBorder="1" applyAlignment="1">
      <alignment horizontal="center" wrapText="1"/>
    </xf>
    <xf numFmtId="0" fontId="2" fillId="0" borderId="25" xfId="0" applyFont="1" applyBorder="1" applyAlignment="1">
      <alignment horizontal="center"/>
    </xf>
    <xf numFmtId="0" fontId="2" fillId="0" borderId="27" xfId="0" applyFont="1" applyBorder="1" applyAlignment="1">
      <alignment horizontal="center"/>
    </xf>
    <xf numFmtId="0" fontId="2" fillId="0" borderId="26" xfId="0" applyFont="1" applyBorder="1" applyAlignment="1">
      <alignment horizontal="center"/>
    </xf>
    <xf numFmtId="0" fontId="2" fillId="0" borderId="10" xfId="0" applyFont="1" applyBorder="1" applyAlignment="1">
      <alignment horizontal="center"/>
    </xf>
    <xf numFmtId="0" fontId="2" fillId="0" borderId="9" xfId="0" quotePrefix="1" applyFont="1" applyBorder="1" applyAlignment="1">
      <alignment horizontal="right" wrapText="1"/>
    </xf>
    <xf numFmtId="0" fontId="2" fillId="0" borderId="12" xfId="0" applyFont="1" applyBorder="1" applyAlignment="1">
      <alignment horizontal="right"/>
    </xf>
    <xf numFmtId="0" fontId="2" fillId="0" borderId="14" xfId="0" applyFont="1" applyBorder="1" applyAlignment="1">
      <alignment horizontal="right"/>
    </xf>
    <xf numFmtId="0" fontId="2" fillId="0" borderId="13" xfId="0" applyFont="1" applyBorder="1" applyAlignment="1">
      <alignment horizontal="center"/>
    </xf>
    <xf numFmtId="0" fontId="2" fillId="0" borderId="9" xfId="0" applyFont="1" applyBorder="1" applyAlignment="1">
      <alignment horizontal="center"/>
    </xf>
    <xf numFmtId="0" fontId="2" fillId="0" borderId="14" xfId="0" applyFont="1" applyBorder="1" applyAlignment="1">
      <alignment horizontal="center"/>
    </xf>
    <xf numFmtId="0" fontId="41" fillId="0" borderId="4" xfId="0" applyFont="1" applyBorder="1" applyAlignment="1">
      <alignment vertical="top" readingOrder="1"/>
    </xf>
    <xf numFmtId="0" fontId="38" fillId="0" borderId="7" xfId="0" applyFont="1" applyBorder="1" applyAlignment="1">
      <alignment vertical="top"/>
    </xf>
    <xf numFmtId="0" fontId="38" fillId="0" borderId="5" xfId="0" applyFont="1" applyBorder="1" applyAlignment="1">
      <alignment vertical="top"/>
    </xf>
    <xf numFmtId="0" fontId="38" fillId="0" borderId="6" xfId="0" applyFont="1" applyBorder="1" applyAlignment="1">
      <alignment vertical="top"/>
    </xf>
    <xf numFmtId="0" fontId="39" fillId="0" borderId="0" xfId="0" applyFont="1" applyAlignment="1">
      <alignment horizontal="center" vertical="top" readingOrder="1"/>
    </xf>
    <xf numFmtId="0" fontId="38" fillId="0" borderId="0" xfId="0" applyFont="1"/>
    <xf numFmtId="0" fontId="10" fillId="0" borderId="4" xfId="0" applyFont="1" applyBorder="1" applyAlignment="1">
      <alignment vertical="top" readingOrder="1"/>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8" fillId="0" borderId="0" xfId="0" applyFont="1" applyAlignment="1">
      <alignment horizontal="center" vertical="top" readingOrder="1"/>
    </xf>
    <xf numFmtId="0" fontId="7" fillId="0" borderId="0" xfId="0" applyFont="1"/>
  </cellXfs>
  <cellStyles count="8">
    <cellStyle name="Comma" xfId="1" builtinId="3"/>
    <cellStyle name="Currency" xfId="2" builtinId="4"/>
    <cellStyle name="Normal" xfId="0" builtinId="0"/>
    <cellStyle name="Normal 2" xfId="3" xr:uid="{CB880DB9-49C7-40D3-B063-AE5AA3506B39}"/>
    <cellStyle name="Normal 2 2" xfId="4" xr:uid="{12222776-52A3-4C13-B28C-08990D6A948D}"/>
    <cellStyle name="Normal 3 2" xfId="6" xr:uid="{320E50BE-3A27-4BCF-90DF-FCBBA5B0C72A}"/>
    <cellStyle name="Normal 4" xfId="7" xr:uid="{AACE2076-7708-4B45-B5AE-D641B1F1996D}"/>
    <cellStyle name="Percent" xfId="5"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190500</xdr:colOff>
      <xdr:row>3</xdr:row>
      <xdr:rowOff>0</xdr:rowOff>
    </xdr:from>
    <xdr:to>
      <xdr:col>9</xdr:col>
      <xdr:colOff>285750</xdr:colOff>
      <xdr:row>4</xdr:row>
      <xdr:rowOff>123825</xdr:rowOff>
    </xdr:to>
    <xdr:sp macro="" textlink="">
      <xdr:nvSpPr>
        <xdr:cNvPr id="3" name="Left Brace 2">
          <a:extLst>
            <a:ext uri="{FF2B5EF4-FFF2-40B4-BE49-F238E27FC236}">
              <a16:creationId xmlns:a16="http://schemas.microsoft.com/office/drawing/2014/main" id="{9154AAA8-7A69-0285-75C5-20072947FE2A}"/>
            </a:ext>
          </a:extLst>
        </xdr:cNvPr>
        <xdr:cNvSpPr/>
      </xdr:nvSpPr>
      <xdr:spPr>
        <a:xfrm rot="10800000">
          <a:off x="5581650" y="1276350"/>
          <a:ext cx="95250" cy="304800"/>
        </a:xfrm>
        <a:prstGeom prst="leftBrace">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186690</xdr:colOff>
      <xdr:row>5</xdr:row>
      <xdr:rowOff>28575</xdr:rowOff>
    </xdr:from>
    <xdr:to>
      <xdr:col>9</xdr:col>
      <xdr:colOff>310515</xdr:colOff>
      <xdr:row>8</xdr:row>
      <xdr:rowOff>47625</xdr:rowOff>
    </xdr:to>
    <xdr:sp macro="" textlink="">
      <xdr:nvSpPr>
        <xdr:cNvPr id="4" name="Left Brace 3">
          <a:extLst>
            <a:ext uri="{FF2B5EF4-FFF2-40B4-BE49-F238E27FC236}">
              <a16:creationId xmlns:a16="http://schemas.microsoft.com/office/drawing/2014/main" id="{2C0EC64C-2A84-4087-8864-7EE8A90609D4}"/>
            </a:ext>
          </a:extLst>
        </xdr:cNvPr>
        <xdr:cNvSpPr/>
      </xdr:nvSpPr>
      <xdr:spPr>
        <a:xfrm rot="10800000">
          <a:off x="5577840" y="1666875"/>
          <a:ext cx="123825" cy="561975"/>
        </a:xfrm>
        <a:prstGeom prst="leftBrace">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381000</xdr:colOff>
      <xdr:row>8</xdr:row>
      <xdr:rowOff>133350</xdr:rowOff>
    </xdr:from>
    <xdr:to>
      <xdr:col>10</xdr:col>
      <xdr:colOff>96519</xdr:colOff>
      <xdr:row>15</xdr:row>
      <xdr:rowOff>88900</xdr:rowOff>
    </xdr:to>
    <xdr:sp macro="" textlink="">
      <xdr:nvSpPr>
        <xdr:cNvPr id="2" name="Right Brace 1">
          <a:extLst>
            <a:ext uri="{FF2B5EF4-FFF2-40B4-BE49-F238E27FC236}">
              <a16:creationId xmlns:a16="http://schemas.microsoft.com/office/drawing/2014/main" id="{726BBEE0-6479-C61B-FDA5-210CDE321ACB}"/>
            </a:ext>
          </a:extLst>
        </xdr:cNvPr>
        <xdr:cNvSpPr/>
      </xdr:nvSpPr>
      <xdr:spPr>
        <a:xfrm>
          <a:off x="5867400" y="1606550"/>
          <a:ext cx="325119" cy="1244600"/>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oneCellAnchor>
    <xdr:from>
      <xdr:col>10</xdr:col>
      <xdr:colOff>101600</xdr:colOff>
      <xdr:row>10</xdr:row>
      <xdr:rowOff>31750</xdr:rowOff>
    </xdr:from>
    <xdr:ext cx="2730500" cy="869950"/>
    <xdr:sp macro="" textlink="">
      <xdr:nvSpPr>
        <xdr:cNvPr id="3" name="TextBox 2">
          <a:extLst>
            <a:ext uri="{FF2B5EF4-FFF2-40B4-BE49-F238E27FC236}">
              <a16:creationId xmlns:a16="http://schemas.microsoft.com/office/drawing/2014/main" id="{ECA55260-7529-283E-7A34-23B9306FD6BE}"/>
            </a:ext>
          </a:extLst>
        </xdr:cNvPr>
        <xdr:cNvSpPr txBox="1"/>
      </xdr:nvSpPr>
      <xdr:spPr>
        <a:xfrm>
          <a:off x="6197600" y="1873250"/>
          <a:ext cx="2730500" cy="869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Can leverage the</a:t>
          </a:r>
          <a:r>
            <a:rPr lang="en-US" sz="1100" baseline="0"/>
            <a:t> $30 M directed increase for the EPSCoR program in IA for part of this.  (EPSCoR Research Infrastructure Improvement Program)</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1915C-DB2B-4CE6-A170-8755C278AE1F}">
  <sheetPr>
    <tabColor theme="7" tint="0.79998168889431442"/>
  </sheetPr>
  <dimension ref="B2:E15"/>
  <sheetViews>
    <sheetView showGridLines="0" zoomScale="175" zoomScaleNormal="175" workbookViewId="0">
      <selection activeCell="E7" sqref="E7"/>
    </sheetView>
  </sheetViews>
  <sheetFormatPr defaultColWidth="9.44140625" defaultRowHeight="15" x14ac:dyDescent="0.35"/>
  <cols>
    <col min="1" max="1" width="4.6640625" style="17" customWidth="1"/>
    <col min="2" max="2" width="42.6640625" style="17" customWidth="1"/>
    <col min="3" max="3" width="10.33203125" style="17" bestFit="1" customWidth="1"/>
    <col min="4" max="4" width="9.44140625" style="17"/>
    <col min="5" max="5" width="10.33203125" style="17" bestFit="1" customWidth="1"/>
    <col min="6" max="16384" width="9.44140625" style="17"/>
  </cols>
  <sheetData>
    <row r="2" spans="2:5" x14ac:dyDescent="0.35">
      <c r="B2" s="727" t="s">
        <v>897</v>
      </c>
      <c r="C2" s="727"/>
    </row>
    <row r="3" spans="2:5" ht="15.6" thickBot="1" x14ac:dyDescent="0.4">
      <c r="B3" s="728" t="s">
        <v>369</v>
      </c>
      <c r="C3" s="728"/>
    </row>
    <row r="4" spans="2:5" x14ac:dyDescent="0.35">
      <c r="B4" s="566" t="s">
        <v>891</v>
      </c>
      <c r="C4" s="569">
        <v>21.957999999999998</v>
      </c>
    </row>
    <row r="5" spans="2:5" x14ac:dyDescent="0.35">
      <c r="B5" s="471" t="s">
        <v>892</v>
      </c>
      <c r="C5" s="210">
        <v>1.25</v>
      </c>
    </row>
    <row r="6" spans="2:5" ht="16.2" x14ac:dyDescent="0.35">
      <c r="B6" s="471" t="s">
        <v>893</v>
      </c>
      <c r="C6" s="210">
        <v>2.38</v>
      </c>
    </row>
    <row r="7" spans="2:5" x14ac:dyDescent="0.35">
      <c r="B7" s="471" t="s">
        <v>895</v>
      </c>
      <c r="C7" s="568">
        <f>SUM(C8:C12)</f>
        <v>18.327999999999999</v>
      </c>
    </row>
    <row r="8" spans="2:5" x14ac:dyDescent="0.35">
      <c r="B8" s="565" t="s">
        <v>0</v>
      </c>
      <c r="C8" s="570">
        <v>3</v>
      </c>
    </row>
    <row r="9" spans="2:5" x14ac:dyDescent="0.35">
      <c r="B9" s="565" t="s">
        <v>1</v>
      </c>
      <c r="C9" s="570">
        <v>3</v>
      </c>
    </row>
    <row r="10" spans="2:5" x14ac:dyDescent="0.35">
      <c r="B10" s="565" t="s">
        <v>2</v>
      </c>
      <c r="C10" s="570">
        <v>3</v>
      </c>
    </row>
    <row r="11" spans="2:5" x14ac:dyDescent="0.35">
      <c r="B11" s="565" t="s">
        <v>7</v>
      </c>
      <c r="C11" s="570">
        <v>7.3280000000000003</v>
      </c>
    </row>
    <row r="12" spans="2:5" x14ac:dyDescent="0.35">
      <c r="B12" s="565" t="s">
        <v>8</v>
      </c>
      <c r="C12" s="570">
        <v>2</v>
      </c>
    </row>
    <row r="13" spans="2:5" ht="15.6" thickBot="1" x14ac:dyDescent="0.4">
      <c r="B13" s="305" t="s">
        <v>896</v>
      </c>
      <c r="C13" s="567">
        <f>C4-SUM(C5:C7)</f>
        <v>0</v>
      </c>
    </row>
    <row r="14" spans="2:5" ht="48" customHeight="1" x14ac:dyDescent="0.35">
      <c r="B14" s="729" t="s">
        <v>894</v>
      </c>
      <c r="C14" s="729"/>
      <c r="E14" s="410"/>
    </row>
    <row r="15" spans="2:5" x14ac:dyDescent="0.35">
      <c r="C15" s="410"/>
    </row>
  </sheetData>
  <mergeCells count="3">
    <mergeCell ref="B2:C2"/>
    <mergeCell ref="B3:C3"/>
    <mergeCell ref="B14:C14"/>
  </mergeCells>
  <pageMargins left="0.7" right="0.7" top="0.75" bottom="0.75" header="0.3" footer="0.3"/>
  <pageSetup orientation="landscape"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3899F-5AF1-4197-BF0C-9ABECA4083C0}">
  <sheetPr>
    <tabColor theme="7" tint="0.79998168889431442"/>
  </sheetPr>
  <dimension ref="A1:CD91"/>
  <sheetViews>
    <sheetView showGridLines="0" topLeftCell="A36" zoomScale="85" zoomScaleNormal="85" workbookViewId="0">
      <selection activeCell="E20" sqref="E20"/>
    </sheetView>
  </sheetViews>
  <sheetFormatPr defaultColWidth="8.6640625" defaultRowHeight="15" x14ac:dyDescent="0.35"/>
  <cols>
    <col min="1" max="1" width="68.33203125" style="228" customWidth="1"/>
    <col min="2" max="2" width="13.44140625" style="228" customWidth="1"/>
    <col min="3" max="3" width="12" style="228" customWidth="1"/>
    <col min="4" max="4" width="11.6640625" style="228" customWidth="1"/>
    <col min="5" max="5" width="14.6640625" style="228" customWidth="1"/>
    <col min="6" max="7" width="16.6640625" style="228" customWidth="1"/>
    <col min="8" max="8" width="15.44140625" style="228" hidden="1" customWidth="1"/>
    <col min="9" max="11" width="13.6640625" style="228" customWidth="1"/>
    <col min="12" max="12" width="11.33203125" style="228" customWidth="1"/>
    <col min="13" max="13" width="14.33203125" style="17" customWidth="1"/>
    <col min="14" max="14" width="8.6640625" style="17"/>
    <col min="15" max="17" width="9.6640625" style="17" customWidth="1"/>
    <col min="18" max="82" width="8.6640625" style="17"/>
    <col min="83" max="16384" width="8.6640625" style="228"/>
  </cols>
  <sheetData>
    <row r="1" spans="1:82" ht="14.7" customHeight="1" x14ac:dyDescent="0.35">
      <c r="A1" s="727" t="s">
        <v>516</v>
      </c>
      <c r="B1" s="727"/>
      <c r="C1" s="727"/>
      <c r="D1" s="727"/>
      <c r="E1" s="727"/>
      <c r="F1" s="727"/>
      <c r="G1" s="727"/>
      <c r="H1" s="727"/>
      <c r="I1" s="727"/>
      <c r="J1" s="651"/>
      <c r="K1" s="651"/>
      <c r="L1" s="85" t="s">
        <v>946</v>
      </c>
    </row>
    <row r="2" spans="1:82" ht="14.7" customHeight="1" x14ac:dyDescent="0.35">
      <c r="A2" s="727" t="s">
        <v>908</v>
      </c>
      <c r="B2" s="727"/>
      <c r="C2" s="727"/>
      <c r="D2" s="727"/>
      <c r="E2" s="727"/>
      <c r="F2" s="727"/>
      <c r="G2" s="727"/>
      <c r="H2" s="727"/>
      <c r="I2" s="727"/>
      <c r="J2" s="651"/>
      <c r="K2" s="651"/>
      <c r="L2" s="651"/>
    </row>
    <row r="3" spans="1:82" s="592" customFormat="1" ht="14.7" customHeight="1" thickBot="1" x14ac:dyDescent="0.4">
      <c r="A3" s="874" t="s">
        <v>369</v>
      </c>
      <c r="B3" s="874"/>
      <c r="C3" s="874"/>
      <c r="D3" s="874"/>
      <c r="E3" s="874"/>
      <c r="F3" s="874"/>
      <c r="G3" s="874"/>
      <c r="H3" s="874"/>
      <c r="I3" s="874"/>
      <c r="J3" s="660"/>
      <c r="K3" s="660"/>
      <c r="L3" s="660"/>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row>
    <row r="4" spans="1:82" ht="43.2" customHeight="1" x14ac:dyDescent="0.35">
      <c r="A4" s="875"/>
      <c r="B4" s="609"/>
      <c r="C4" s="872" t="s">
        <v>952</v>
      </c>
      <c r="D4" s="872" t="s">
        <v>373</v>
      </c>
      <c r="E4" s="877" t="s">
        <v>909</v>
      </c>
      <c r="F4" s="879" t="s">
        <v>910</v>
      </c>
      <c r="G4" s="879" t="s">
        <v>926</v>
      </c>
      <c r="H4" s="881" t="s">
        <v>911</v>
      </c>
      <c r="I4" s="883" t="s">
        <v>912</v>
      </c>
      <c r="J4" s="814" t="s">
        <v>956</v>
      </c>
      <c r="K4" s="814" t="s">
        <v>957</v>
      </c>
      <c r="L4" s="653"/>
    </row>
    <row r="5" spans="1:82" s="290" customFormat="1" ht="22.95" customHeight="1" thickBot="1" x14ac:dyDescent="0.4">
      <c r="A5" s="876"/>
      <c r="B5" s="608"/>
      <c r="C5" s="873"/>
      <c r="D5" s="873"/>
      <c r="E5" s="878"/>
      <c r="F5" s="880"/>
      <c r="G5" s="880"/>
      <c r="H5" s="882"/>
      <c r="I5" s="884"/>
      <c r="J5" s="815"/>
      <c r="K5" s="815"/>
      <c r="L5" s="653" t="s">
        <v>560</v>
      </c>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row>
    <row r="6" spans="1:82" s="594" customFormat="1" ht="14.7" customHeight="1" x14ac:dyDescent="0.35">
      <c r="A6" s="470" t="s">
        <v>791</v>
      </c>
      <c r="B6" s="593"/>
      <c r="C6" s="593"/>
      <c r="D6" s="593"/>
      <c r="E6" s="629"/>
      <c r="F6" s="617"/>
      <c r="G6" s="617"/>
      <c r="H6" s="620"/>
      <c r="I6" s="626"/>
      <c r="J6" s="617"/>
      <c r="K6" s="617"/>
      <c r="L6" s="6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row>
    <row r="7" spans="1:82" s="594" customFormat="1" ht="14.7" customHeight="1" x14ac:dyDescent="0.35">
      <c r="A7" s="595" t="s">
        <v>134</v>
      </c>
      <c r="B7" s="644">
        <v>1</v>
      </c>
      <c r="C7" s="596">
        <v>18.5</v>
      </c>
      <c r="D7" s="596">
        <v>20.5</v>
      </c>
      <c r="E7" s="630">
        <v>19</v>
      </c>
      <c r="F7" s="596">
        <v>0</v>
      </c>
      <c r="G7" s="596">
        <v>2</v>
      </c>
      <c r="H7" s="621">
        <f>SUM(E7:F7)</f>
        <v>19</v>
      </c>
      <c r="I7" s="610">
        <f>SUM(E7:G7)</f>
        <v>21</v>
      </c>
      <c r="J7" s="596">
        <f>I7-C7</f>
        <v>2.5</v>
      </c>
      <c r="K7" s="596">
        <f>I7-D7</f>
        <v>0.5</v>
      </c>
      <c r="L7" s="596"/>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row>
    <row r="8" spans="1:82" s="594" customFormat="1" ht="14.7" customHeight="1" x14ac:dyDescent="0.35">
      <c r="A8" s="597" t="s">
        <v>792</v>
      </c>
      <c r="B8" s="644">
        <v>1</v>
      </c>
      <c r="C8" s="598">
        <v>6.64</v>
      </c>
      <c r="D8" s="598">
        <v>4.6399999999999997</v>
      </c>
      <c r="E8" s="631">
        <v>3.74</v>
      </c>
      <c r="F8" s="598">
        <v>0</v>
      </c>
      <c r="G8" s="598">
        <v>0</v>
      </c>
      <c r="H8" s="621">
        <f t="shared" ref="H8:H31" si="0">SUM(E8:F8)</f>
        <v>3.74</v>
      </c>
      <c r="I8" s="662">
        <f t="shared" ref="I8:I30" si="1">SUM(E8:G8)</f>
        <v>3.74</v>
      </c>
      <c r="J8" s="596">
        <f t="shared" ref="J8:J48" si="2">I8-C8</f>
        <v>-2.8999999999999995</v>
      </c>
      <c r="K8" s="596">
        <f t="shared" ref="K8:K48" si="3">I8-D8</f>
        <v>-0.89999999999999947</v>
      </c>
      <c r="L8" s="596"/>
      <c r="M8" s="17" t="s">
        <v>560</v>
      </c>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row>
    <row r="9" spans="1:82" s="594" customFormat="1" ht="14.7" customHeight="1" x14ac:dyDescent="0.35">
      <c r="A9" s="648" t="s">
        <v>84</v>
      </c>
      <c r="B9" s="666">
        <v>1</v>
      </c>
      <c r="C9" s="598">
        <v>8.5</v>
      </c>
      <c r="D9" s="598">
        <v>14</v>
      </c>
      <c r="E9" s="631">
        <v>9.5</v>
      </c>
      <c r="F9" s="598">
        <v>0</v>
      </c>
      <c r="G9" s="598">
        <v>3</v>
      </c>
      <c r="H9" s="622">
        <f t="shared" si="0"/>
        <v>9.5</v>
      </c>
      <c r="I9" s="662">
        <f t="shared" si="1"/>
        <v>12.5</v>
      </c>
      <c r="J9" s="596">
        <f t="shared" si="2"/>
        <v>4</v>
      </c>
      <c r="K9" s="596">
        <f t="shared" si="3"/>
        <v>-1.5</v>
      </c>
      <c r="L9" s="596"/>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row>
    <row r="10" spans="1:82" s="594" customFormat="1" ht="14.7" customHeight="1" x14ac:dyDescent="0.35">
      <c r="A10" s="648" t="s">
        <v>793</v>
      </c>
      <c r="B10" s="644">
        <v>1</v>
      </c>
      <c r="C10" s="598">
        <v>5</v>
      </c>
      <c r="D10" s="598">
        <v>10.5</v>
      </c>
      <c r="E10" s="631">
        <v>8</v>
      </c>
      <c r="F10" s="598">
        <v>0</v>
      </c>
      <c r="G10" s="598">
        <v>0</v>
      </c>
      <c r="H10" s="621">
        <f t="shared" si="0"/>
        <v>8</v>
      </c>
      <c r="I10" s="662">
        <f t="shared" si="1"/>
        <v>8</v>
      </c>
      <c r="J10" s="596">
        <f t="shared" si="2"/>
        <v>3</v>
      </c>
      <c r="K10" s="596">
        <f t="shared" si="3"/>
        <v>-2.5</v>
      </c>
      <c r="L10" s="596"/>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row>
    <row r="11" spans="1:82" s="594" customFormat="1" x14ac:dyDescent="0.35">
      <c r="A11" s="597" t="s">
        <v>299</v>
      </c>
      <c r="B11" s="644">
        <v>1</v>
      </c>
      <c r="C11" s="598">
        <v>7.5</v>
      </c>
      <c r="D11" s="598">
        <v>9</v>
      </c>
      <c r="E11" s="631">
        <v>7.5</v>
      </c>
      <c r="F11" s="598">
        <v>0</v>
      </c>
      <c r="G11" s="598">
        <v>0</v>
      </c>
      <c r="H11" s="621">
        <f t="shared" si="0"/>
        <v>7.5</v>
      </c>
      <c r="I11" s="662">
        <f t="shared" si="1"/>
        <v>7.5</v>
      </c>
      <c r="J11" s="596">
        <f t="shared" si="2"/>
        <v>0</v>
      </c>
      <c r="K11" s="596">
        <f t="shared" si="3"/>
        <v>-1.5</v>
      </c>
      <c r="L11" s="596"/>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row>
    <row r="12" spans="1:82" s="594" customFormat="1" x14ac:dyDescent="0.35">
      <c r="A12" s="597" t="s">
        <v>137</v>
      </c>
      <c r="B12" s="644">
        <v>1</v>
      </c>
      <c r="C12" s="598">
        <v>0.28000000000000003</v>
      </c>
      <c r="D12" s="598">
        <v>0.28000000000000003</v>
      </c>
      <c r="E12" s="631">
        <v>0.28000000000000003</v>
      </c>
      <c r="F12" s="598">
        <v>0</v>
      </c>
      <c r="G12" s="598">
        <v>0</v>
      </c>
      <c r="H12" s="621">
        <f t="shared" si="0"/>
        <v>0.28000000000000003</v>
      </c>
      <c r="I12" s="662">
        <f t="shared" si="1"/>
        <v>0.28000000000000003</v>
      </c>
      <c r="J12" s="596">
        <f t="shared" si="2"/>
        <v>0</v>
      </c>
      <c r="K12" s="596">
        <f t="shared" si="3"/>
        <v>0</v>
      </c>
      <c r="L12" s="596"/>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row>
    <row r="13" spans="1:82" s="594" customFormat="1" ht="14.7" customHeight="1" x14ac:dyDescent="0.35">
      <c r="A13" s="597" t="s">
        <v>101</v>
      </c>
      <c r="B13" s="644">
        <v>1</v>
      </c>
      <c r="C13" s="598">
        <v>26</v>
      </c>
      <c r="D13" s="598">
        <v>41</v>
      </c>
      <c r="E13" s="631">
        <v>29</v>
      </c>
      <c r="F13" s="598">
        <v>0</v>
      </c>
      <c r="G13" s="598">
        <v>3</v>
      </c>
      <c r="H13" s="622">
        <f t="shared" si="0"/>
        <v>29</v>
      </c>
      <c r="I13" s="662">
        <f t="shared" si="1"/>
        <v>32</v>
      </c>
      <c r="J13" s="596">
        <f t="shared" si="2"/>
        <v>6</v>
      </c>
      <c r="K13" s="596">
        <f t="shared" si="3"/>
        <v>-9</v>
      </c>
      <c r="L13" s="596"/>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row>
    <row r="14" spans="1:82" s="594" customFormat="1" ht="14.7" customHeight="1" x14ac:dyDescent="0.35">
      <c r="A14" s="597" t="s">
        <v>300</v>
      </c>
      <c r="B14" s="644">
        <v>1</v>
      </c>
      <c r="C14" s="598">
        <v>14.75</v>
      </c>
      <c r="D14" s="598">
        <v>12.75</v>
      </c>
      <c r="E14" s="631">
        <v>14.75</v>
      </c>
      <c r="F14" s="598">
        <v>0</v>
      </c>
      <c r="G14" s="598">
        <v>0</v>
      </c>
      <c r="H14" s="621">
        <f t="shared" si="0"/>
        <v>14.75</v>
      </c>
      <c r="I14" s="662">
        <f t="shared" si="1"/>
        <v>14.75</v>
      </c>
      <c r="J14" s="596">
        <f t="shared" si="2"/>
        <v>0</v>
      </c>
      <c r="K14" s="596">
        <f t="shared" si="3"/>
        <v>2</v>
      </c>
      <c r="L14" s="596"/>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row>
    <row r="15" spans="1:82" s="594" customFormat="1" ht="14.7" customHeight="1" x14ac:dyDescent="0.35">
      <c r="A15" s="648" t="s">
        <v>301</v>
      </c>
      <c r="B15" s="644">
        <v>1</v>
      </c>
      <c r="C15" s="598">
        <v>3</v>
      </c>
      <c r="D15" s="598">
        <v>7</v>
      </c>
      <c r="E15" s="631">
        <v>7</v>
      </c>
      <c r="F15" s="598">
        <v>0</v>
      </c>
      <c r="G15" s="598">
        <v>0</v>
      </c>
      <c r="H15" s="621">
        <f t="shared" si="0"/>
        <v>7</v>
      </c>
      <c r="I15" s="662">
        <f t="shared" si="1"/>
        <v>7</v>
      </c>
      <c r="J15" s="596">
        <f t="shared" si="2"/>
        <v>4</v>
      </c>
      <c r="K15" s="596">
        <f t="shared" si="3"/>
        <v>0</v>
      </c>
      <c r="L15" s="596"/>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row>
    <row r="16" spans="1:82" s="594" customFormat="1" ht="14.7" customHeight="1" x14ac:dyDescent="0.35">
      <c r="A16" s="646" t="s">
        <v>948</v>
      </c>
      <c r="B16" s="644">
        <v>1</v>
      </c>
      <c r="C16" s="598">
        <v>19</v>
      </c>
      <c r="D16" s="598">
        <v>28</v>
      </c>
      <c r="E16" s="631">
        <v>16</v>
      </c>
      <c r="F16" s="598">
        <v>0</v>
      </c>
      <c r="G16" s="598">
        <v>0</v>
      </c>
      <c r="H16" s="621">
        <v>0</v>
      </c>
      <c r="I16" s="662">
        <f t="shared" si="1"/>
        <v>16</v>
      </c>
      <c r="J16" s="596">
        <f t="shared" si="2"/>
        <v>-3</v>
      </c>
      <c r="K16" s="596">
        <f t="shared" si="3"/>
        <v>-12</v>
      </c>
      <c r="L16" s="596"/>
      <c r="M16" s="17" t="s">
        <v>560</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row>
    <row r="17" spans="1:82" s="594" customFormat="1" ht="14.7" customHeight="1" x14ac:dyDescent="0.35">
      <c r="A17" s="597" t="s">
        <v>305</v>
      </c>
      <c r="B17" s="644">
        <v>1</v>
      </c>
      <c r="C17" s="598">
        <v>5.0999999999999996</v>
      </c>
      <c r="D17" s="598">
        <v>6</v>
      </c>
      <c r="E17" s="631">
        <v>5.0999999999999996</v>
      </c>
      <c r="F17" s="598">
        <v>0</v>
      </c>
      <c r="G17" s="598">
        <v>0</v>
      </c>
      <c r="H17" s="621">
        <f t="shared" si="0"/>
        <v>5.0999999999999996</v>
      </c>
      <c r="I17" s="662">
        <f t="shared" si="1"/>
        <v>5.0999999999999996</v>
      </c>
      <c r="J17" s="596">
        <f t="shared" si="2"/>
        <v>0</v>
      </c>
      <c r="K17" s="596">
        <f t="shared" si="3"/>
        <v>-0.90000000000000036</v>
      </c>
      <c r="L17" s="596"/>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row>
    <row r="18" spans="1:82" s="594" customFormat="1" x14ac:dyDescent="0.35">
      <c r="A18" s="597" t="s">
        <v>907</v>
      </c>
      <c r="B18" s="644">
        <v>1</v>
      </c>
      <c r="C18" s="598">
        <v>23</v>
      </c>
      <c r="D18" s="598">
        <v>50.5</v>
      </c>
      <c r="E18" s="631">
        <v>27</v>
      </c>
      <c r="F18" s="598">
        <v>0</v>
      </c>
      <c r="G18" s="598">
        <v>5</v>
      </c>
      <c r="H18" s="622">
        <f t="shared" si="0"/>
        <v>27</v>
      </c>
      <c r="I18" s="662">
        <f t="shared" si="1"/>
        <v>32</v>
      </c>
      <c r="J18" s="596">
        <f t="shared" si="2"/>
        <v>9</v>
      </c>
      <c r="K18" s="596">
        <f t="shared" si="3"/>
        <v>-18.5</v>
      </c>
      <c r="L18" s="596"/>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row>
    <row r="19" spans="1:82" s="594" customFormat="1" ht="16.95" customHeight="1" x14ac:dyDescent="0.35">
      <c r="A19" s="597" t="s">
        <v>143</v>
      </c>
      <c r="B19" s="644">
        <v>1</v>
      </c>
      <c r="C19" s="598">
        <v>7.4</v>
      </c>
      <c r="D19" s="598">
        <v>7.64</v>
      </c>
      <c r="E19" s="631">
        <v>7.4</v>
      </c>
      <c r="F19" s="598">
        <v>0</v>
      </c>
      <c r="G19" s="598">
        <v>0</v>
      </c>
      <c r="H19" s="621">
        <f t="shared" si="0"/>
        <v>7.4</v>
      </c>
      <c r="I19" s="662">
        <f t="shared" si="1"/>
        <v>7.4</v>
      </c>
      <c r="J19" s="596">
        <f t="shared" si="2"/>
        <v>0</v>
      </c>
      <c r="K19" s="596">
        <f t="shared" si="3"/>
        <v>-0.23999999999999932</v>
      </c>
      <c r="L19" s="596"/>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row>
    <row r="20" spans="1:82" s="592" customFormat="1" ht="18.600000000000001" customHeight="1" x14ac:dyDescent="0.35">
      <c r="A20" s="597" t="s">
        <v>943</v>
      </c>
      <c r="B20" s="644">
        <v>1</v>
      </c>
      <c r="C20" s="598">
        <v>0</v>
      </c>
      <c r="D20" s="598">
        <v>50</v>
      </c>
      <c r="E20" s="631">
        <v>34.18</v>
      </c>
      <c r="F20" s="598">
        <v>0</v>
      </c>
      <c r="G20" s="598">
        <v>0</v>
      </c>
      <c r="H20" s="622">
        <f t="shared" si="0"/>
        <v>34.18</v>
      </c>
      <c r="I20" s="662">
        <f t="shared" si="1"/>
        <v>34.18</v>
      </c>
      <c r="J20" s="596">
        <f t="shared" si="2"/>
        <v>34.18</v>
      </c>
      <c r="K20" s="596">
        <f t="shared" si="3"/>
        <v>-15.82</v>
      </c>
      <c r="L20" s="596"/>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row>
    <row r="21" spans="1:82" s="592" customFormat="1" x14ac:dyDescent="0.35">
      <c r="A21" s="597" t="s">
        <v>794</v>
      </c>
      <c r="B21" s="644">
        <v>1</v>
      </c>
      <c r="C21" s="598">
        <v>22</v>
      </c>
      <c r="D21" s="598">
        <v>37.93</v>
      </c>
      <c r="E21" s="631">
        <v>10</v>
      </c>
      <c r="F21" s="598">
        <v>15</v>
      </c>
      <c r="G21" s="598">
        <v>0</v>
      </c>
      <c r="H21" s="622">
        <f t="shared" si="0"/>
        <v>25</v>
      </c>
      <c r="I21" s="662">
        <f t="shared" si="1"/>
        <v>25</v>
      </c>
      <c r="J21" s="596">
        <f t="shared" si="2"/>
        <v>3</v>
      </c>
      <c r="K21" s="596">
        <f t="shared" si="3"/>
        <v>-12.93</v>
      </c>
      <c r="L21" s="59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row>
    <row r="22" spans="1:82" s="594" customFormat="1" ht="14.7" customHeight="1" x14ac:dyDescent="0.35">
      <c r="A22" s="597" t="s">
        <v>914</v>
      </c>
      <c r="B22" s="644">
        <v>1</v>
      </c>
      <c r="C22" s="598">
        <v>38</v>
      </c>
      <c r="D22" s="598">
        <v>48.5</v>
      </c>
      <c r="E22" s="631">
        <v>43</v>
      </c>
      <c r="F22" s="598">
        <v>0</v>
      </c>
      <c r="G22" s="598">
        <v>3</v>
      </c>
      <c r="H22" s="622">
        <f t="shared" si="0"/>
        <v>43</v>
      </c>
      <c r="I22" s="662">
        <f t="shared" si="1"/>
        <v>46</v>
      </c>
      <c r="J22" s="596">
        <f t="shared" si="2"/>
        <v>8</v>
      </c>
      <c r="K22" s="596">
        <f t="shared" si="3"/>
        <v>-2.5</v>
      </c>
      <c r="L22" s="596"/>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row>
    <row r="23" spans="1:82" s="592" customFormat="1" x14ac:dyDescent="0.35">
      <c r="A23" s="597" t="s">
        <v>915</v>
      </c>
      <c r="B23" s="644">
        <v>1</v>
      </c>
      <c r="C23" s="598">
        <v>48.5</v>
      </c>
      <c r="D23" s="598">
        <v>60.5</v>
      </c>
      <c r="E23" s="631">
        <v>53.5</v>
      </c>
      <c r="F23" s="598">
        <v>0</v>
      </c>
      <c r="G23" s="598">
        <v>2</v>
      </c>
      <c r="H23" s="622">
        <f t="shared" si="0"/>
        <v>53.5</v>
      </c>
      <c r="I23" s="662">
        <f t="shared" si="1"/>
        <v>55.5</v>
      </c>
      <c r="J23" s="596">
        <f t="shared" si="2"/>
        <v>7</v>
      </c>
      <c r="K23" s="596">
        <f t="shared" si="3"/>
        <v>-5</v>
      </c>
      <c r="L23" s="596"/>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row>
    <row r="24" spans="1:82" s="592" customFormat="1" ht="14.7" customHeight="1" x14ac:dyDescent="0.35">
      <c r="A24" s="597" t="s">
        <v>149</v>
      </c>
      <c r="B24" s="644">
        <v>1</v>
      </c>
      <c r="C24" s="598">
        <v>51.5</v>
      </c>
      <c r="D24" s="598">
        <v>70.5</v>
      </c>
      <c r="E24" s="631">
        <v>55.5</v>
      </c>
      <c r="F24" s="598">
        <v>0</v>
      </c>
      <c r="G24" s="598">
        <v>0</v>
      </c>
      <c r="H24" s="622">
        <f t="shared" si="0"/>
        <v>55.5</v>
      </c>
      <c r="I24" s="662">
        <f t="shared" si="1"/>
        <v>55.5</v>
      </c>
      <c r="J24" s="596">
        <f t="shared" si="2"/>
        <v>4</v>
      </c>
      <c r="K24" s="596">
        <f t="shared" si="3"/>
        <v>-15</v>
      </c>
      <c r="L24" s="596"/>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row>
    <row r="25" spans="1:82" s="592" customFormat="1" ht="14.7" customHeight="1" x14ac:dyDescent="0.35">
      <c r="A25" s="597" t="s">
        <v>795</v>
      </c>
      <c r="B25" s="644">
        <v>1</v>
      </c>
      <c r="C25" s="598">
        <v>1</v>
      </c>
      <c r="D25" s="598">
        <v>20</v>
      </c>
      <c r="E25" s="631">
        <v>10</v>
      </c>
      <c r="F25" s="598">
        <v>0</v>
      </c>
      <c r="G25" s="598">
        <v>0</v>
      </c>
      <c r="H25" s="621">
        <f t="shared" si="0"/>
        <v>10</v>
      </c>
      <c r="I25" s="662">
        <f t="shared" si="1"/>
        <v>10</v>
      </c>
      <c r="J25" s="596">
        <f t="shared" si="2"/>
        <v>9</v>
      </c>
      <c r="K25" s="596">
        <f t="shared" si="3"/>
        <v>-10</v>
      </c>
      <c r="L25" s="596"/>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row>
    <row r="26" spans="1:82" s="592" customFormat="1" ht="14.7" customHeight="1" x14ac:dyDescent="0.35">
      <c r="A26" s="597" t="s">
        <v>951</v>
      </c>
      <c r="B26" s="644">
        <v>1</v>
      </c>
      <c r="C26" s="663" t="s">
        <v>931</v>
      </c>
      <c r="D26" s="598" t="s">
        <v>916</v>
      </c>
      <c r="E26" s="668" t="s">
        <v>917</v>
      </c>
      <c r="F26" s="598">
        <v>0</v>
      </c>
      <c r="G26" s="598">
        <v>0</v>
      </c>
      <c r="H26" s="621">
        <f>SUM(E26:F26)</f>
        <v>0</v>
      </c>
      <c r="I26" s="662" t="s">
        <v>917</v>
      </c>
      <c r="J26" s="596" t="s">
        <v>560</v>
      </c>
      <c r="K26" s="596" t="s">
        <v>560</v>
      </c>
      <c r="L26" s="596"/>
      <c r="M26" s="17" t="s">
        <v>560</v>
      </c>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row>
    <row r="27" spans="1:82" s="592" customFormat="1" x14ac:dyDescent="0.35">
      <c r="A27" s="648" t="s">
        <v>945</v>
      </c>
      <c r="B27" s="644">
        <v>1</v>
      </c>
      <c r="C27" s="598">
        <f>5+5</f>
        <v>10</v>
      </c>
      <c r="D27" s="598">
        <f>9+1.5</f>
        <v>10.5</v>
      </c>
      <c r="E27" s="631">
        <v>12.5</v>
      </c>
      <c r="F27" s="598">
        <v>0</v>
      </c>
      <c r="G27" s="598">
        <v>0</v>
      </c>
      <c r="H27" s="621">
        <f t="shared" si="0"/>
        <v>12.5</v>
      </c>
      <c r="I27" s="662">
        <f t="shared" si="1"/>
        <v>12.5</v>
      </c>
      <c r="J27" s="596">
        <f t="shared" si="2"/>
        <v>2.5</v>
      </c>
      <c r="K27" s="596">
        <f t="shared" si="3"/>
        <v>2</v>
      </c>
      <c r="L27" s="596"/>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row>
    <row r="28" spans="1:82" s="592" customFormat="1" ht="14.7" customHeight="1" x14ac:dyDescent="0.35">
      <c r="A28" s="597" t="s">
        <v>321</v>
      </c>
      <c r="B28" s="644">
        <v>1</v>
      </c>
      <c r="C28" s="657">
        <v>8</v>
      </c>
      <c r="D28" s="657">
        <v>8</v>
      </c>
      <c r="E28" s="656">
        <v>8</v>
      </c>
      <c r="F28" s="598">
        <v>0</v>
      </c>
      <c r="G28" s="598">
        <v>0</v>
      </c>
      <c r="H28" s="621">
        <f t="shared" si="0"/>
        <v>8</v>
      </c>
      <c r="I28" s="662">
        <f>SUM(E28:G28)</f>
        <v>8</v>
      </c>
      <c r="J28" s="596">
        <f t="shared" si="2"/>
        <v>0</v>
      </c>
      <c r="K28" s="596">
        <f t="shared" si="3"/>
        <v>0</v>
      </c>
      <c r="L28" s="282" t="s">
        <v>958</v>
      </c>
      <c r="M28" s="282"/>
      <c r="O28" s="17" t="s">
        <v>560</v>
      </c>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row>
    <row r="29" spans="1:82" s="592" customFormat="1" ht="14.7" customHeight="1" x14ac:dyDescent="0.35">
      <c r="A29" s="648" t="s">
        <v>944</v>
      </c>
      <c r="B29" s="644">
        <v>1</v>
      </c>
      <c r="C29" s="657">
        <v>1.5</v>
      </c>
      <c r="D29" s="657">
        <v>6</v>
      </c>
      <c r="E29" s="656">
        <v>1.5</v>
      </c>
      <c r="F29" s="657">
        <v>1.5</v>
      </c>
      <c r="G29" s="598">
        <v>0</v>
      </c>
      <c r="H29" s="621">
        <f t="shared" si="0"/>
        <v>3</v>
      </c>
      <c r="I29" s="662">
        <f t="shared" si="1"/>
        <v>3</v>
      </c>
      <c r="J29" s="596">
        <f t="shared" si="2"/>
        <v>1.5</v>
      </c>
      <c r="K29" s="596">
        <f t="shared" si="3"/>
        <v>-3</v>
      </c>
      <c r="L29" s="596"/>
      <c r="M29" s="17" t="s">
        <v>560</v>
      </c>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row>
    <row r="30" spans="1:82" s="592" customFormat="1" ht="14.7" customHeight="1" x14ac:dyDescent="0.35">
      <c r="A30" s="597" t="s">
        <v>796</v>
      </c>
      <c r="B30" s="644">
        <v>1</v>
      </c>
      <c r="C30" s="657">
        <v>1.5</v>
      </c>
      <c r="D30" s="657">
        <v>1.5</v>
      </c>
      <c r="E30" s="656">
        <v>1.5</v>
      </c>
      <c r="F30" s="598">
        <v>0</v>
      </c>
      <c r="G30" s="657">
        <v>0</v>
      </c>
      <c r="H30" s="621">
        <f t="shared" si="0"/>
        <v>1.5</v>
      </c>
      <c r="I30" s="662">
        <f t="shared" si="1"/>
        <v>1.5</v>
      </c>
      <c r="J30" s="596">
        <f t="shared" si="2"/>
        <v>0</v>
      </c>
      <c r="K30" s="596">
        <f t="shared" si="3"/>
        <v>0</v>
      </c>
      <c r="L30" s="596"/>
      <c r="M30" s="63" t="s">
        <v>560</v>
      </c>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row>
    <row r="31" spans="1:82" s="592" customFormat="1" ht="14.7" customHeight="1" thickBot="1" x14ac:dyDescent="0.4">
      <c r="A31" s="597" t="s">
        <v>132</v>
      </c>
      <c r="B31" s="644">
        <v>1</v>
      </c>
      <c r="C31" s="598">
        <v>17.5</v>
      </c>
      <c r="D31" s="598">
        <v>23</v>
      </c>
      <c r="E31" s="631">
        <v>20</v>
      </c>
      <c r="F31" s="598">
        <v>0</v>
      </c>
      <c r="G31" s="598">
        <v>6</v>
      </c>
      <c r="H31" s="621">
        <f t="shared" si="0"/>
        <v>20</v>
      </c>
      <c r="I31" s="662">
        <f>SUM(E31:G31)</f>
        <v>26</v>
      </c>
      <c r="J31" s="596">
        <f t="shared" si="2"/>
        <v>8.5</v>
      </c>
      <c r="K31" s="596">
        <f t="shared" si="3"/>
        <v>3</v>
      </c>
      <c r="L31" s="596"/>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row>
    <row r="32" spans="1:82" s="592" customFormat="1" ht="15.45" customHeight="1" thickBot="1" x14ac:dyDescent="0.4">
      <c r="A32" s="599" t="s">
        <v>797</v>
      </c>
      <c r="B32" s="612"/>
      <c r="C32" s="600">
        <f t="shared" ref="C32:I32" si="4">SUM(C7:C31)</f>
        <v>344.16999999999996</v>
      </c>
      <c r="D32" s="600">
        <f t="shared" si="4"/>
        <v>548.24</v>
      </c>
      <c r="E32" s="632">
        <f t="shared" si="4"/>
        <v>403.95000000000005</v>
      </c>
      <c r="F32" s="600">
        <f t="shared" si="4"/>
        <v>16.5</v>
      </c>
      <c r="G32" s="600">
        <f t="shared" si="4"/>
        <v>24</v>
      </c>
      <c r="H32" s="600">
        <f t="shared" si="4"/>
        <v>404.45000000000005</v>
      </c>
      <c r="I32" s="627">
        <f t="shared" si="4"/>
        <v>444.45000000000005</v>
      </c>
      <c r="J32" s="670">
        <f t="shared" ref="J32" si="5">I32-C32</f>
        <v>100.28000000000009</v>
      </c>
      <c r="K32" s="670">
        <f t="shared" ref="K32" si="6">I32-D32</f>
        <v>-103.78999999999996</v>
      </c>
      <c r="L32" s="596"/>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row>
    <row r="33" spans="1:82" s="592" customFormat="1" ht="14.7" customHeight="1" x14ac:dyDescent="0.35">
      <c r="A33" s="601" t="s">
        <v>919</v>
      </c>
      <c r="B33" s="602"/>
      <c r="C33" s="602"/>
      <c r="D33" s="602"/>
      <c r="E33" s="633"/>
      <c r="F33" s="603"/>
      <c r="G33" s="603"/>
      <c r="H33" s="624"/>
      <c r="I33" s="613"/>
      <c r="J33" s="596">
        <f t="shared" si="2"/>
        <v>0</v>
      </c>
      <c r="K33" s="596">
        <f t="shared" si="3"/>
        <v>0</v>
      </c>
      <c r="L33" s="596"/>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row>
    <row r="34" spans="1:82" s="592" customFormat="1" ht="14.7" customHeight="1" thickBot="1" x14ac:dyDescent="0.4">
      <c r="A34" s="597" t="s">
        <v>14</v>
      </c>
      <c r="B34" s="645"/>
      <c r="C34" s="596">
        <v>215</v>
      </c>
      <c r="D34" s="596">
        <v>247.25</v>
      </c>
      <c r="E34" s="655">
        <v>205</v>
      </c>
      <c r="F34" s="658">
        <v>50</v>
      </c>
      <c r="G34" s="598">
        <v>0</v>
      </c>
      <c r="H34" s="621">
        <f t="shared" ref="H34" si="7">SUM(E34:F34)</f>
        <v>255</v>
      </c>
      <c r="I34" s="610">
        <f t="shared" ref="I34" si="8">SUM(E34:G34)</f>
        <v>255</v>
      </c>
      <c r="J34" s="596">
        <f t="shared" si="2"/>
        <v>40</v>
      </c>
      <c r="K34" s="596">
        <f t="shared" si="3"/>
        <v>7.75</v>
      </c>
      <c r="L34" s="596"/>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row>
    <row r="35" spans="1:82" s="592" customFormat="1" ht="15.45" customHeight="1" thickBot="1" x14ac:dyDescent="0.4">
      <c r="A35" s="599" t="s">
        <v>920</v>
      </c>
      <c r="B35" s="612"/>
      <c r="C35" s="600">
        <f>C34</f>
        <v>215</v>
      </c>
      <c r="D35" s="600">
        <f>D34</f>
        <v>247.25</v>
      </c>
      <c r="E35" s="632">
        <f t="shared" ref="E35:I35" si="9">E34</f>
        <v>205</v>
      </c>
      <c r="F35" s="600">
        <f t="shared" si="9"/>
        <v>50</v>
      </c>
      <c r="G35" s="600">
        <f t="shared" si="9"/>
        <v>0</v>
      </c>
      <c r="H35" s="623">
        <f t="shared" si="9"/>
        <v>255</v>
      </c>
      <c r="I35" s="627">
        <f t="shared" si="9"/>
        <v>255</v>
      </c>
      <c r="J35" s="670">
        <f t="shared" ref="J35" si="10">I35-C35</f>
        <v>40</v>
      </c>
      <c r="K35" s="670">
        <f t="shared" ref="K35" si="11">I35-D35</f>
        <v>7.75</v>
      </c>
      <c r="L35" s="596"/>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row>
    <row r="36" spans="1:82" s="592" customFormat="1" ht="14.7" customHeight="1" x14ac:dyDescent="0.35">
      <c r="A36" s="601" t="s">
        <v>798</v>
      </c>
      <c r="B36" s="602" t="s">
        <v>560</v>
      </c>
      <c r="C36" s="602"/>
      <c r="D36" s="602"/>
      <c r="E36" s="633"/>
      <c r="F36" s="603"/>
      <c r="G36" s="603"/>
      <c r="H36" s="624"/>
      <c r="I36" s="613"/>
      <c r="J36" s="596">
        <f t="shared" si="2"/>
        <v>0</v>
      </c>
      <c r="K36" s="596">
        <f t="shared" si="3"/>
        <v>0</v>
      </c>
      <c r="L36" s="596"/>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row>
    <row r="37" spans="1:82" s="592" customFormat="1" ht="14.7" customHeight="1" x14ac:dyDescent="0.35">
      <c r="A37" s="597" t="s">
        <v>83</v>
      </c>
      <c r="B37" s="669">
        <v>0.57999999999999996</v>
      </c>
      <c r="C37" s="603">
        <f>65*B37</f>
        <v>37.699999999999996</v>
      </c>
      <c r="D37" s="603">
        <v>43.21</v>
      </c>
      <c r="E37" s="667">
        <f>70*B37</f>
        <v>40.599999999999994</v>
      </c>
      <c r="F37" s="603">
        <v>0</v>
      </c>
      <c r="G37" s="647">
        <f>16*B37</f>
        <v>9.2799999999999994</v>
      </c>
      <c r="H37" s="621">
        <f>SUM(E37:F37)</f>
        <v>40.599999999999994</v>
      </c>
      <c r="I37" s="610">
        <f>SUM(E37:G37)</f>
        <v>49.879999999999995</v>
      </c>
      <c r="J37" s="596">
        <f t="shared" si="2"/>
        <v>12.18</v>
      </c>
      <c r="K37" s="596">
        <f t="shared" si="3"/>
        <v>6.6699999999999946</v>
      </c>
      <c r="L37" s="596"/>
      <c r="M37" s="17" t="s">
        <v>560</v>
      </c>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row>
    <row r="38" spans="1:82" s="592" customFormat="1" ht="14.7" customHeight="1" x14ac:dyDescent="0.35">
      <c r="A38" s="597" t="s">
        <v>138</v>
      </c>
      <c r="B38" s="669">
        <v>0.62</v>
      </c>
      <c r="C38" s="603">
        <f>24.5*B38</f>
        <v>15.19</v>
      </c>
      <c r="D38" s="603">
        <v>15.19</v>
      </c>
      <c r="E38" s="667">
        <f>21.5*B38</f>
        <v>13.33</v>
      </c>
      <c r="F38" s="647">
        <f>3*B38</f>
        <v>1.8599999999999999</v>
      </c>
      <c r="G38" s="603">
        <v>0</v>
      </c>
      <c r="H38" s="621">
        <f t="shared" ref="H38:H45" si="12">SUM(E38:F38)</f>
        <v>15.19</v>
      </c>
      <c r="I38" s="610">
        <f t="shared" ref="I38:I48" si="13">SUM(E38:G38)</f>
        <v>15.19</v>
      </c>
      <c r="J38" s="596">
        <f t="shared" si="2"/>
        <v>0</v>
      </c>
      <c r="K38" s="596">
        <f t="shared" si="3"/>
        <v>0</v>
      </c>
      <c r="L38" s="596"/>
      <c r="M38" s="17"/>
      <c r="N38" s="17"/>
      <c r="O38" s="17"/>
      <c r="P38" s="228"/>
      <c r="Q38" s="228"/>
      <c r="R38" s="228"/>
      <c r="S38" s="228"/>
      <c r="T38" s="228"/>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row>
    <row r="39" spans="1:82" s="592" customFormat="1" ht="14.7" customHeight="1" x14ac:dyDescent="0.35">
      <c r="A39" s="597" t="s">
        <v>141</v>
      </c>
      <c r="B39" s="669">
        <v>0.51</v>
      </c>
      <c r="C39" s="603">
        <f>18*B39</f>
        <v>9.18</v>
      </c>
      <c r="D39" s="603">
        <v>3.06</v>
      </c>
      <c r="E39" s="667">
        <f>21*B39</f>
        <v>10.71</v>
      </c>
      <c r="F39" s="603">
        <v>0</v>
      </c>
      <c r="G39" s="603">
        <v>0</v>
      </c>
      <c r="H39" s="621">
        <f t="shared" si="12"/>
        <v>10.71</v>
      </c>
      <c r="I39" s="610">
        <f t="shared" si="13"/>
        <v>10.71</v>
      </c>
      <c r="J39" s="596">
        <f t="shared" si="2"/>
        <v>1.5300000000000011</v>
      </c>
      <c r="K39" s="596">
        <f t="shared" si="3"/>
        <v>7.65</v>
      </c>
      <c r="L39" s="596"/>
      <c r="M39" s="17"/>
      <c r="N39" s="17"/>
      <c r="O39" s="17"/>
      <c r="P39" s="228"/>
      <c r="Q39" s="228"/>
      <c r="R39" s="228"/>
      <c r="S39" s="228"/>
      <c r="T39" s="228"/>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row>
    <row r="40" spans="1:82" s="592" customFormat="1" ht="14.7" customHeight="1" x14ac:dyDescent="0.35">
      <c r="A40" s="597" t="s">
        <v>104</v>
      </c>
      <c r="B40" s="669">
        <v>0.56000000000000005</v>
      </c>
      <c r="C40" s="603">
        <f>SUM(98.5*B40)</f>
        <v>55.160000000000004</v>
      </c>
      <c r="D40" s="603">
        <v>55.720000000000006</v>
      </c>
      <c r="E40" s="667">
        <f>100.6*B40</f>
        <v>56.336000000000006</v>
      </c>
      <c r="F40" s="603">
        <v>0</v>
      </c>
      <c r="G40" s="647">
        <f>10.9*B40</f>
        <v>6.104000000000001</v>
      </c>
      <c r="H40" s="621">
        <f t="shared" si="12"/>
        <v>56.336000000000006</v>
      </c>
      <c r="I40" s="610">
        <f t="shared" si="13"/>
        <v>62.440000000000005</v>
      </c>
      <c r="J40" s="596">
        <f t="shared" si="2"/>
        <v>7.2800000000000011</v>
      </c>
      <c r="K40" s="596">
        <f t="shared" si="3"/>
        <v>6.7199999999999989</v>
      </c>
      <c r="L40" s="596"/>
      <c r="M40" s="17"/>
      <c r="N40" s="17"/>
      <c r="O40" s="17"/>
      <c r="P40" s="228"/>
      <c r="Q40" s="228"/>
      <c r="R40" s="228"/>
      <c r="S40" s="228"/>
      <c r="T40" s="228"/>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row>
    <row r="41" spans="1:82" s="592" customFormat="1" ht="14.7" customHeight="1" x14ac:dyDescent="0.35">
      <c r="A41" s="597" t="s">
        <v>799</v>
      </c>
      <c r="B41" s="669">
        <v>0.62</v>
      </c>
      <c r="C41" s="603">
        <f>101.94*B41</f>
        <v>63.202799999999996</v>
      </c>
      <c r="D41" s="603">
        <v>63.202799999999996</v>
      </c>
      <c r="E41" s="667">
        <f>82.91*B41</f>
        <v>51.404199999999996</v>
      </c>
      <c r="F41" s="603">
        <v>0</v>
      </c>
      <c r="G41" s="603">
        <v>0</v>
      </c>
      <c r="H41" s="621">
        <f t="shared" si="12"/>
        <v>51.404199999999996</v>
      </c>
      <c r="I41" s="610">
        <f t="shared" si="13"/>
        <v>51.404199999999996</v>
      </c>
      <c r="J41" s="596">
        <f t="shared" si="2"/>
        <v>-11.7986</v>
      </c>
      <c r="K41" s="596">
        <f t="shared" si="3"/>
        <v>-11.7986</v>
      </c>
      <c r="L41" s="596"/>
      <c r="M41" s="17"/>
      <c r="N41" s="17"/>
      <c r="O41" s="17"/>
      <c r="P41" s="228"/>
      <c r="Q41" s="228"/>
      <c r="R41" s="228"/>
      <c r="S41" s="228"/>
      <c r="T41" s="228"/>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row>
    <row r="42" spans="1:82" s="592" customFormat="1" ht="14.7" customHeight="1" x14ac:dyDescent="0.35">
      <c r="A42" s="597" t="s">
        <v>146</v>
      </c>
      <c r="B42" s="669">
        <v>0.66600000000000004</v>
      </c>
      <c r="C42" s="603">
        <f>290*B42</f>
        <v>193.14000000000001</v>
      </c>
      <c r="D42" s="654">
        <v>236.77</v>
      </c>
      <c r="E42" s="667">
        <f>233*B42</f>
        <v>155.178</v>
      </c>
      <c r="F42" s="647">
        <f>92*B42</f>
        <v>61.272000000000006</v>
      </c>
      <c r="G42" s="603">
        <v>0</v>
      </c>
      <c r="H42" s="621">
        <f t="shared" si="12"/>
        <v>216.45</v>
      </c>
      <c r="I42" s="610">
        <f t="shared" si="13"/>
        <v>216.45</v>
      </c>
      <c r="J42" s="596">
        <f t="shared" si="2"/>
        <v>23.309999999999974</v>
      </c>
      <c r="K42" s="596">
        <f t="shared" si="3"/>
        <v>-20.320000000000022</v>
      </c>
      <c r="L42" s="596"/>
      <c r="M42" s="17"/>
      <c r="N42" s="17" t="s">
        <v>560</v>
      </c>
      <c r="O42" s="17" t="s">
        <v>560</v>
      </c>
      <c r="P42" s="228"/>
      <c r="Q42" s="228"/>
      <c r="R42" s="228"/>
      <c r="S42" s="228"/>
      <c r="T42" s="228"/>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row>
    <row r="43" spans="1:82" s="592" customFormat="1" ht="14.7" customHeight="1" x14ac:dyDescent="0.35">
      <c r="A43" s="597" t="s">
        <v>113</v>
      </c>
      <c r="B43" s="669">
        <v>0.64</v>
      </c>
      <c r="C43" s="603">
        <f>106.5*B43</f>
        <v>68.16</v>
      </c>
      <c r="D43" s="654">
        <v>69.536000000000001</v>
      </c>
      <c r="E43" s="667">
        <f>93.5*B43</f>
        <v>59.84</v>
      </c>
      <c r="F43" s="603">
        <v>0</v>
      </c>
      <c r="G43" s="647">
        <f>32.1*B43</f>
        <v>20.544</v>
      </c>
      <c r="H43" s="621">
        <f t="shared" si="12"/>
        <v>59.84</v>
      </c>
      <c r="I43" s="610">
        <f t="shared" si="13"/>
        <v>80.384</v>
      </c>
      <c r="J43" s="596">
        <f t="shared" si="2"/>
        <v>12.224000000000004</v>
      </c>
      <c r="K43" s="596">
        <f t="shared" si="3"/>
        <v>10.847999999999999</v>
      </c>
      <c r="L43" s="596"/>
      <c r="M43" s="17"/>
      <c r="N43" s="647" t="s">
        <v>560</v>
      </c>
      <c r="O43" s="17" t="s">
        <v>560</v>
      </c>
      <c r="P43" s="228"/>
      <c r="Q43" s="228"/>
      <c r="R43" s="228"/>
      <c r="S43" s="228"/>
      <c r="T43" s="228"/>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row>
    <row r="44" spans="1:82" s="592" customFormat="1" ht="15.45" customHeight="1" x14ac:dyDescent="0.35">
      <c r="A44" s="597" t="s">
        <v>950</v>
      </c>
      <c r="B44" s="669">
        <v>0.74</v>
      </c>
      <c r="C44" s="647" t="s">
        <v>954</v>
      </c>
      <c r="D44" s="647" t="s">
        <v>921</v>
      </c>
      <c r="E44" s="667" t="s">
        <v>955</v>
      </c>
      <c r="F44" s="647">
        <v>0</v>
      </c>
      <c r="G44" s="647">
        <v>0</v>
      </c>
      <c r="H44" s="665">
        <f t="shared" si="12"/>
        <v>0</v>
      </c>
      <c r="I44" s="664" t="s">
        <v>922</v>
      </c>
      <c r="J44" s="596" t="s">
        <v>560</v>
      </c>
      <c r="K44" s="596" t="s">
        <v>560</v>
      </c>
      <c r="L44" s="596"/>
      <c r="M44" s="17"/>
      <c r="N44" s="17"/>
      <c r="O44" s="17" t="s">
        <v>560</v>
      </c>
      <c r="P44" s="228"/>
      <c r="Q44" s="228"/>
      <c r="R44" s="228"/>
      <c r="S44" s="228"/>
      <c r="T44" s="228"/>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row>
    <row r="45" spans="1:82" s="592" customFormat="1" x14ac:dyDescent="0.35">
      <c r="A45" s="597" t="s">
        <v>147</v>
      </c>
      <c r="B45" s="669">
        <v>0.54</v>
      </c>
      <c r="C45" s="603">
        <f>6.95*B45</f>
        <v>3.7530000000000006</v>
      </c>
      <c r="D45" s="654">
        <v>5.4</v>
      </c>
      <c r="E45" s="667">
        <f>12*B45</f>
        <v>6.48</v>
      </c>
      <c r="F45" s="603">
        <v>0</v>
      </c>
      <c r="G45" s="603">
        <v>0</v>
      </c>
      <c r="H45" s="621">
        <f t="shared" si="12"/>
        <v>6.48</v>
      </c>
      <c r="I45" s="610">
        <f t="shared" si="13"/>
        <v>6.48</v>
      </c>
      <c r="J45" s="596">
        <f t="shared" si="2"/>
        <v>2.7269999999999999</v>
      </c>
      <c r="K45" s="596">
        <f t="shared" si="3"/>
        <v>1.08</v>
      </c>
      <c r="L45" s="596"/>
      <c r="M45" s="17"/>
      <c r="N45" s="17"/>
      <c r="O45" s="17"/>
      <c r="P45" s="228"/>
      <c r="Q45" s="228"/>
      <c r="R45" s="228"/>
      <c r="S45" s="228"/>
      <c r="T45" s="228"/>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row>
    <row r="46" spans="1:82" s="592" customFormat="1" x14ac:dyDescent="0.35">
      <c r="A46" s="597" t="s">
        <v>923</v>
      </c>
      <c r="B46" s="669">
        <v>0.72</v>
      </c>
      <c r="C46" s="603">
        <f>23.5*B46</f>
        <v>16.919999999999998</v>
      </c>
      <c r="D46" s="654">
        <v>5.18</v>
      </c>
      <c r="E46" s="667">
        <f>(4.5+1.8)*B46</f>
        <v>4.5359999999999996</v>
      </c>
      <c r="F46" s="603">
        <v>0</v>
      </c>
      <c r="G46" s="603">
        <v>0</v>
      </c>
      <c r="H46" s="621">
        <f>SUM(E46:F46)</f>
        <v>4.5359999999999996</v>
      </c>
      <c r="I46" s="610">
        <f t="shared" si="13"/>
        <v>4.5359999999999996</v>
      </c>
      <c r="J46" s="596">
        <f t="shared" si="2"/>
        <v>-12.383999999999999</v>
      </c>
      <c r="K46" s="596">
        <f t="shared" si="3"/>
        <v>-0.64400000000000013</v>
      </c>
      <c r="L46" s="596"/>
      <c r="M46" s="870" t="s">
        <v>560</v>
      </c>
      <c r="N46" s="870"/>
      <c r="O46" s="870"/>
      <c r="P46" s="870"/>
      <c r="Q46" s="870"/>
      <c r="R46" s="870"/>
      <c r="S46" s="870"/>
      <c r="T46" s="870"/>
      <c r="U46" s="870"/>
      <c r="V46" s="870"/>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row>
    <row r="47" spans="1:82" s="592" customFormat="1" ht="19.95" customHeight="1" x14ac:dyDescent="0.35">
      <c r="A47" s="597" t="s">
        <v>924</v>
      </c>
      <c r="B47" s="669">
        <v>0.61</v>
      </c>
      <c r="C47" s="603">
        <f>83.32*B47</f>
        <v>50.825199999999995</v>
      </c>
      <c r="D47" s="603">
        <v>51.33</v>
      </c>
      <c r="E47" s="667">
        <f>(62.08+17.82)*B47</f>
        <v>48.739000000000004</v>
      </c>
      <c r="F47" s="603">
        <v>0</v>
      </c>
      <c r="G47" s="603">
        <v>0</v>
      </c>
      <c r="H47" s="621">
        <f>SUM(E47:F47)</f>
        <v>48.739000000000004</v>
      </c>
      <c r="I47" s="610">
        <f t="shared" si="13"/>
        <v>48.739000000000004</v>
      </c>
      <c r="J47" s="596">
        <f t="shared" si="2"/>
        <v>-2.086199999999991</v>
      </c>
      <c r="K47" s="596">
        <f t="shared" si="3"/>
        <v>-2.590999999999994</v>
      </c>
      <c r="L47" s="596"/>
      <c r="M47" s="17"/>
      <c r="N47" s="17"/>
      <c r="O47" s="649" t="s">
        <v>560</v>
      </c>
      <c r="P47" s="228"/>
      <c r="Q47" s="228"/>
      <c r="R47" s="228"/>
      <c r="S47" s="228"/>
      <c r="T47" s="228"/>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row>
    <row r="48" spans="1:82" s="592" customFormat="1" ht="15.6" thickBot="1" x14ac:dyDescent="0.4">
      <c r="A48" s="597" t="s">
        <v>161</v>
      </c>
      <c r="B48" s="669">
        <v>0.59</v>
      </c>
      <c r="C48" s="603">
        <f>67*B48</f>
        <v>39.53</v>
      </c>
      <c r="D48" s="603">
        <v>39.53</v>
      </c>
      <c r="E48" s="667">
        <f>68*B48</f>
        <v>40.119999999999997</v>
      </c>
      <c r="F48" s="603">
        <v>0</v>
      </c>
      <c r="G48" s="647">
        <f>1*B48</f>
        <v>0.59</v>
      </c>
      <c r="H48" s="621">
        <f>SUM(E48:F48)</f>
        <v>40.119999999999997</v>
      </c>
      <c r="I48" s="610">
        <f t="shared" si="13"/>
        <v>40.71</v>
      </c>
      <c r="J48" s="596">
        <f t="shared" si="2"/>
        <v>1.1799999999999997</v>
      </c>
      <c r="K48" s="596">
        <f t="shared" si="3"/>
        <v>1.1799999999999997</v>
      </c>
      <c r="L48" s="596"/>
      <c r="M48" s="17"/>
      <c r="N48" s="17"/>
      <c r="O48" s="649" t="s">
        <v>560</v>
      </c>
      <c r="P48" s="228"/>
      <c r="Q48" s="228"/>
      <c r="R48" s="228"/>
      <c r="S48" s="228"/>
      <c r="T48" s="228"/>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row>
    <row r="49" spans="1:82" s="592" customFormat="1" ht="15.45" customHeight="1" thickBot="1" x14ac:dyDescent="0.4">
      <c r="A49" s="599" t="s">
        <v>800</v>
      </c>
      <c r="B49" s="612"/>
      <c r="C49" s="600">
        <f>SUM(C37:C48)</f>
        <v>552.76099999999997</v>
      </c>
      <c r="D49" s="600">
        <f>SUM(D37:D48)</f>
        <v>588.12879999999996</v>
      </c>
      <c r="E49" s="632">
        <f t="shared" ref="E49:I49" si="14">SUM(E37:E48)</f>
        <v>487.27319999999997</v>
      </c>
      <c r="F49" s="600">
        <f t="shared" si="14"/>
        <v>63.132000000000005</v>
      </c>
      <c r="G49" s="600">
        <f t="shared" si="14"/>
        <v>36.518000000000001</v>
      </c>
      <c r="H49" s="623">
        <f t="shared" si="14"/>
        <v>550.40520000000004</v>
      </c>
      <c r="I49" s="627">
        <f t="shared" si="14"/>
        <v>586.92320000000007</v>
      </c>
      <c r="J49" s="670">
        <f t="shared" ref="J49" si="15">I49-C49</f>
        <v>34.162200000000098</v>
      </c>
      <c r="K49" s="670">
        <f t="shared" ref="K49" si="16">I49-D49</f>
        <v>-1.2055999999998903</v>
      </c>
      <c r="L49" s="596"/>
      <c r="M49" s="17"/>
      <c r="N49" s="17"/>
      <c r="O49" s="649"/>
      <c r="P49" s="228"/>
      <c r="Q49" s="228"/>
      <c r="R49" s="228"/>
      <c r="S49" s="228"/>
      <c r="T49" s="228"/>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row>
    <row r="50" spans="1:82" ht="15.45" customHeight="1" thickBot="1" x14ac:dyDescent="0.4">
      <c r="A50" s="604" t="s">
        <v>925</v>
      </c>
      <c r="B50" s="614"/>
      <c r="C50" s="605">
        <f>SUM(C32,C35,C49)</f>
        <v>1111.931</v>
      </c>
      <c r="D50" s="605">
        <f>SUM(D32,D35,D49)</f>
        <v>1383.6188</v>
      </c>
      <c r="E50" s="634">
        <f t="shared" ref="E50:I50" si="17">SUM(E32,E35,E49)</f>
        <v>1096.2231999999999</v>
      </c>
      <c r="F50" s="605">
        <f t="shared" si="17"/>
        <v>129.63200000000001</v>
      </c>
      <c r="G50" s="605">
        <f t="shared" si="17"/>
        <v>60.518000000000001</v>
      </c>
      <c r="H50" s="625">
        <f t="shared" si="17"/>
        <v>1209.8552</v>
      </c>
      <c r="I50" s="628">
        <f t="shared" si="17"/>
        <v>1286.3732</v>
      </c>
      <c r="J50" s="596">
        <f>SUM(J32,J35,J49)</f>
        <v>174.44220000000018</v>
      </c>
      <c r="K50" s="596">
        <f>SUM(K32,K35,K49)</f>
        <v>-97.245599999999854</v>
      </c>
      <c r="L50" s="596"/>
      <c r="M50" s="85"/>
      <c r="N50" s="85"/>
      <c r="O50" s="85"/>
      <c r="P50" s="228"/>
      <c r="Q50" s="228"/>
      <c r="R50" s="228"/>
      <c r="S50" s="228"/>
      <c r="T50" s="228"/>
    </row>
    <row r="51" spans="1:82" ht="15.45" customHeight="1" x14ac:dyDescent="0.35">
      <c r="A51" s="885" t="s">
        <v>953</v>
      </c>
      <c r="B51" s="871"/>
      <c r="C51" s="871"/>
      <c r="D51" s="871"/>
      <c r="E51" s="871"/>
      <c r="F51" s="871"/>
      <c r="G51" s="871"/>
      <c r="H51" s="871"/>
      <c r="I51" s="871"/>
      <c r="J51" s="596"/>
      <c r="K51" s="596"/>
      <c r="L51" s="596"/>
      <c r="M51" s="85"/>
      <c r="N51" s="85"/>
      <c r="O51" s="85"/>
      <c r="P51" s="228"/>
      <c r="Q51" s="228"/>
      <c r="R51" s="228"/>
      <c r="S51" s="228"/>
      <c r="T51" s="228"/>
    </row>
    <row r="52" spans="1:82" ht="30.45" customHeight="1" x14ac:dyDescent="0.35">
      <c r="A52" s="871" t="s">
        <v>949</v>
      </c>
      <c r="B52" s="871"/>
      <c r="C52" s="871"/>
      <c r="D52" s="871"/>
      <c r="E52" s="871"/>
      <c r="F52" s="871"/>
      <c r="G52" s="871"/>
      <c r="H52" s="871"/>
      <c r="I52" s="871"/>
      <c r="J52" s="671">
        <f>J49+J35+J32</f>
        <v>174.44220000000018</v>
      </c>
      <c r="K52" s="671">
        <f>K49+K35+K32</f>
        <v>-97.245599999999854</v>
      </c>
      <c r="L52" s="652"/>
      <c r="M52" s="606"/>
      <c r="N52" s="606"/>
      <c r="O52" s="606" t="s">
        <v>560</v>
      </c>
      <c r="P52" s="606"/>
      <c r="Q52" s="606"/>
      <c r="R52" s="606"/>
      <c r="S52" s="606"/>
      <c r="T52" s="606"/>
      <c r="U52" s="606"/>
      <c r="V52" s="606"/>
      <c r="W52" s="606"/>
      <c r="X52" s="606"/>
      <c r="Y52" s="606"/>
      <c r="Z52" s="606"/>
    </row>
    <row r="53" spans="1:82" x14ac:dyDescent="0.35">
      <c r="D53" s="650" t="s">
        <v>560</v>
      </c>
      <c r="E53" s="607"/>
      <c r="F53" s="607"/>
      <c r="G53" s="607"/>
      <c r="H53" s="607"/>
      <c r="I53" s="607"/>
      <c r="J53" s="661"/>
      <c r="K53" s="661"/>
      <c r="L53" s="661"/>
      <c r="M53" s="606"/>
      <c r="N53" s="606"/>
      <c r="O53" s="606"/>
      <c r="P53" s="606"/>
      <c r="Q53" s="606"/>
      <c r="R53" s="606"/>
      <c r="S53" s="606"/>
      <c r="T53" s="606"/>
      <c r="U53" s="606"/>
      <c r="V53" s="606"/>
      <c r="W53" s="606"/>
      <c r="X53" s="606"/>
      <c r="Y53" s="606"/>
      <c r="Z53" s="606"/>
    </row>
    <row r="54" spans="1:82" x14ac:dyDescent="0.35">
      <c r="D54" s="650"/>
      <c r="E54" s="607"/>
      <c r="F54" s="607"/>
      <c r="G54" s="607"/>
      <c r="H54" s="607"/>
      <c r="I54" s="607"/>
      <c r="J54" s="661"/>
      <c r="K54" s="661"/>
      <c r="L54" s="661"/>
      <c r="M54" s="606"/>
      <c r="N54" s="606"/>
      <c r="O54" s="606"/>
      <c r="P54" s="606"/>
      <c r="Q54" s="606"/>
      <c r="R54" s="606"/>
      <c r="S54" s="606"/>
      <c r="T54" s="606"/>
      <c r="U54" s="606"/>
      <c r="V54" s="606"/>
      <c r="W54" s="606"/>
      <c r="X54" s="606"/>
      <c r="Y54" s="606"/>
      <c r="Z54" s="606"/>
    </row>
    <row r="55" spans="1:82" x14ac:dyDescent="0.35">
      <c r="A55" s="17"/>
      <c r="B55" s="17"/>
      <c r="C55" s="659">
        <f t="shared" ref="C55:C66" si="18">D55/B37</f>
        <v>74.5</v>
      </c>
      <c r="D55" s="17">
        <v>43.209999999999994</v>
      </c>
      <c r="M55" s="606"/>
      <c r="N55" s="606"/>
      <c r="O55" s="606"/>
      <c r="P55" s="606"/>
      <c r="Q55" s="606"/>
      <c r="R55" s="606"/>
      <c r="S55" s="606"/>
      <c r="T55" s="606"/>
      <c r="U55" s="606"/>
      <c r="V55" s="606"/>
      <c r="W55" s="606"/>
      <c r="X55" s="606"/>
      <c r="Y55" s="606"/>
      <c r="Z55" s="606"/>
    </row>
    <row r="56" spans="1:82" x14ac:dyDescent="0.35">
      <c r="A56" s="17"/>
      <c r="B56" s="17"/>
      <c r="C56" s="659">
        <f t="shared" si="18"/>
        <v>24.5</v>
      </c>
      <c r="D56" s="17">
        <v>15.19</v>
      </c>
      <c r="M56" s="606"/>
      <c r="N56" s="606"/>
      <c r="O56" s="606"/>
      <c r="P56" s="606"/>
      <c r="Q56" s="606"/>
      <c r="R56" s="606"/>
      <c r="S56" s="606"/>
      <c r="T56" s="606"/>
      <c r="U56" s="606"/>
      <c r="V56" s="606"/>
      <c r="W56" s="606"/>
      <c r="X56" s="606"/>
      <c r="Y56" s="606"/>
      <c r="Z56" s="606"/>
    </row>
    <row r="57" spans="1:82" x14ac:dyDescent="0.35">
      <c r="A57" s="17"/>
      <c r="B57" s="17"/>
      <c r="C57" s="659">
        <f t="shared" si="18"/>
        <v>6</v>
      </c>
      <c r="D57" s="17">
        <v>3.06</v>
      </c>
      <c r="E57" s="17"/>
      <c r="F57" s="17"/>
      <c r="G57" s="17"/>
      <c r="H57" s="17"/>
      <c r="I57" s="17"/>
      <c r="J57" s="17"/>
      <c r="K57" s="17"/>
      <c r="L57" s="17"/>
      <c r="M57" s="606"/>
      <c r="N57" s="606"/>
      <c r="O57" s="606"/>
      <c r="P57" s="606"/>
      <c r="Q57" s="606"/>
      <c r="R57" s="606"/>
      <c r="S57" s="606"/>
      <c r="T57" s="606"/>
      <c r="U57" s="606"/>
      <c r="V57" s="606"/>
      <c r="W57" s="606"/>
      <c r="X57" s="606"/>
      <c r="Y57" s="606"/>
      <c r="Z57" s="606"/>
    </row>
    <row r="58" spans="1:82" x14ac:dyDescent="0.35">
      <c r="A58" s="17"/>
      <c r="B58" s="17"/>
      <c r="C58" s="659">
        <f t="shared" si="18"/>
        <v>99.5</v>
      </c>
      <c r="D58" s="17">
        <v>55.720000000000006</v>
      </c>
      <c r="E58" s="17"/>
      <c r="F58" s="17"/>
      <c r="G58" s="17"/>
      <c r="H58" s="17"/>
      <c r="I58" s="17"/>
      <c r="J58" s="17"/>
      <c r="K58" s="17"/>
      <c r="L58" s="17"/>
      <c r="M58" s="606"/>
      <c r="N58" s="606"/>
      <c r="O58" s="606"/>
      <c r="P58" s="606"/>
      <c r="Q58" s="606"/>
      <c r="R58" s="606"/>
      <c r="S58" s="606"/>
      <c r="T58" s="606"/>
      <c r="U58" s="606"/>
      <c r="V58" s="606"/>
      <c r="W58" s="606"/>
      <c r="X58" s="606"/>
      <c r="Y58" s="606"/>
      <c r="Z58" s="606"/>
    </row>
    <row r="59" spans="1:82" x14ac:dyDescent="0.35">
      <c r="A59" s="17"/>
      <c r="B59" s="17"/>
      <c r="C59" s="659">
        <f t="shared" si="18"/>
        <v>101.94</v>
      </c>
      <c r="D59" s="17">
        <v>63.202799999999996</v>
      </c>
      <c r="E59" s="17"/>
      <c r="G59" s="17"/>
      <c r="H59" s="17"/>
      <c r="I59" s="17"/>
      <c r="J59" s="17"/>
      <c r="K59" s="17"/>
      <c r="L59" s="17"/>
      <c r="M59" s="606"/>
      <c r="N59" s="606"/>
      <c r="O59" s="606"/>
      <c r="P59" s="606"/>
      <c r="Q59" s="606"/>
      <c r="R59" s="606"/>
      <c r="S59" s="606"/>
      <c r="T59" s="606"/>
      <c r="U59" s="606"/>
      <c r="V59" s="606"/>
      <c r="W59" s="606"/>
      <c r="X59" s="606"/>
      <c r="Y59" s="606"/>
      <c r="Z59" s="606"/>
    </row>
    <row r="60" spans="1:82" x14ac:dyDescent="0.35">
      <c r="C60" s="659">
        <f t="shared" si="18"/>
        <v>355.51051051051053</v>
      </c>
      <c r="D60" s="228">
        <v>236.77</v>
      </c>
      <c r="M60" s="606"/>
      <c r="N60" s="606"/>
      <c r="O60" s="606"/>
      <c r="P60" s="606"/>
      <c r="Q60" s="606"/>
      <c r="R60" s="606"/>
      <c r="S60" s="606"/>
      <c r="T60" s="606"/>
      <c r="U60" s="606"/>
      <c r="V60" s="606"/>
      <c r="W60" s="606"/>
      <c r="X60" s="606"/>
      <c r="Y60" s="606"/>
      <c r="Z60" s="606"/>
    </row>
    <row r="61" spans="1:82" s="17" customFormat="1" x14ac:dyDescent="0.35">
      <c r="C61" s="659">
        <f t="shared" si="18"/>
        <v>108.65</v>
      </c>
      <c r="D61" s="17">
        <v>69.536000000000001</v>
      </c>
      <c r="M61" s="606"/>
      <c r="N61" s="606"/>
      <c r="O61" s="606"/>
      <c r="P61" s="606"/>
      <c r="Q61" s="606"/>
      <c r="R61" s="606"/>
      <c r="S61" s="606"/>
      <c r="T61" s="606"/>
      <c r="U61" s="606"/>
      <c r="V61" s="606"/>
      <c r="W61" s="606"/>
      <c r="X61" s="606"/>
      <c r="Y61" s="606"/>
      <c r="Z61" s="606"/>
    </row>
    <row r="62" spans="1:82" s="17" customFormat="1" x14ac:dyDescent="0.35">
      <c r="C62" s="659">
        <f t="shared" si="18"/>
        <v>39.716216216216218</v>
      </c>
      <c r="D62" s="17">
        <v>29.39</v>
      </c>
      <c r="M62" s="606"/>
      <c r="N62" s="606"/>
      <c r="O62" s="606"/>
      <c r="P62" s="606"/>
      <c r="Q62" s="606"/>
      <c r="R62" s="606"/>
      <c r="S62" s="606"/>
      <c r="T62" s="606"/>
      <c r="U62" s="606"/>
      <c r="V62" s="606"/>
      <c r="W62" s="606"/>
      <c r="X62" s="606"/>
      <c r="Y62" s="606"/>
      <c r="Z62" s="606"/>
    </row>
    <row r="63" spans="1:82" s="17" customFormat="1" x14ac:dyDescent="0.35">
      <c r="C63" s="659">
        <f t="shared" si="18"/>
        <v>10</v>
      </c>
      <c r="D63" s="17">
        <v>5.4</v>
      </c>
      <c r="M63" s="606"/>
      <c r="N63" s="606"/>
      <c r="O63" s="606"/>
      <c r="P63" s="606"/>
      <c r="Q63" s="606"/>
      <c r="R63" s="606"/>
      <c r="S63" s="606"/>
      <c r="T63" s="606"/>
      <c r="U63" s="606"/>
      <c r="V63" s="606"/>
      <c r="W63" s="606"/>
      <c r="X63" s="606"/>
      <c r="Y63" s="606"/>
      <c r="Z63" s="606"/>
    </row>
    <row r="64" spans="1:82" s="17" customFormat="1" x14ac:dyDescent="0.35">
      <c r="C64" s="659">
        <f t="shared" si="18"/>
        <v>13.194444444444445</v>
      </c>
      <c r="D64" s="17">
        <v>9.5</v>
      </c>
      <c r="M64" s="606"/>
      <c r="N64" s="606"/>
      <c r="O64" s="606"/>
      <c r="P64" s="606"/>
      <c r="Q64" s="606"/>
      <c r="R64" s="606"/>
      <c r="S64" s="606"/>
      <c r="T64" s="606"/>
      <c r="U64" s="606"/>
      <c r="V64" s="606"/>
      <c r="W64" s="606"/>
      <c r="X64" s="606"/>
      <c r="Y64" s="606"/>
      <c r="Z64" s="606"/>
    </row>
    <row r="65" spans="3:26" s="17" customFormat="1" x14ac:dyDescent="0.35">
      <c r="C65" s="659">
        <f t="shared" si="18"/>
        <v>84.147540983606561</v>
      </c>
      <c r="D65" s="17">
        <v>51.33</v>
      </c>
      <c r="M65" s="606"/>
      <c r="N65" s="606"/>
      <c r="O65" s="606"/>
      <c r="P65" s="606"/>
      <c r="Q65" s="606"/>
      <c r="R65" s="606"/>
      <c r="S65" s="606"/>
      <c r="T65" s="606"/>
      <c r="U65" s="606"/>
      <c r="V65" s="606"/>
      <c r="W65" s="606"/>
      <c r="X65" s="606"/>
      <c r="Y65" s="606"/>
      <c r="Z65" s="606"/>
    </row>
    <row r="66" spans="3:26" s="17" customFormat="1" x14ac:dyDescent="0.35">
      <c r="C66" s="659">
        <f t="shared" si="18"/>
        <v>67</v>
      </c>
      <c r="D66" s="17">
        <v>39.53</v>
      </c>
      <c r="M66" s="606"/>
      <c r="N66" s="606"/>
      <c r="O66" s="606"/>
      <c r="P66" s="606"/>
      <c r="Q66" s="606"/>
      <c r="R66" s="606"/>
      <c r="S66" s="606"/>
      <c r="T66" s="606"/>
      <c r="U66" s="606"/>
      <c r="V66" s="606"/>
      <c r="W66" s="606"/>
      <c r="X66" s="606"/>
      <c r="Y66" s="606"/>
      <c r="Z66" s="606"/>
    </row>
    <row r="67" spans="3:26" s="17" customFormat="1" x14ac:dyDescent="0.35">
      <c r="M67" s="606"/>
      <c r="N67" s="606"/>
      <c r="O67" s="606"/>
      <c r="P67" s="606"/>
      <c r="Q67" s="606"/>
      <c r="R67" s="606"/>
      <c r="S67" s="606"/>
      <c r="T67" s="606"/>
      <c r="U67" s="606"/>
      <c r="V67" s="606"/>
      <c r="W67" s="606"/>
      <c r="X67" s="606"/>
      <c r="Y67" s="606"/>
      <c r="Z67" s="606"/>
    </row>
    <row r="68" spans="3:26" s="17" customFormat="1" x14ac:dyDescent="0.35">
      <c r="M68" s="606"/>
      <c r="N68" s="606"/>
      <c r="O68" s="606"/>
      <c r="P68" s="606"/>
      <c r="Q68" s="606"/>
      <c r="R68" s="606"/>
      <c r="S68" s="606"/>
      <c r="T68" s="606"/>
      <c r="U68" s="606"/>
      <c r="V68" s="606"/>
      <c r="W68" s="606"/>
      <c r="X68" s="606"/>
      <c r="Y68" s="606"/>
      <c r="Z68" s="606"/>
    </row>
    <row r="69" spans="3:26" s="17" customFormat="1" x14ac:dyDescent="0.35">
      <c r="M69" s="606"/>
      <c r="N69" s="606"/>
      <c r="O69" s="606"/>
      <c r="P69" s="606"/>
      <c r="Q69" s="606"/>
      <c r="R69" s="606"/>
      <c r="S69" s="606"/>
      <c r="T69" s="606"/>
      <c r="U69" s="606"/>
      <c r="V69" s="606"/>
      <c r="W69" s="606"/>
      <c r="X69" s="606"/>
      <c r="Y69" s="606"/>
      <c r="Z69" s="606"/>
    </row>
    <row r="70" spans="3:26" s="17" customFormat="1" x14ac:dyDescent="0.35">
      <c r="M70" s="606"/>
      <c r="N70" s="606"/>
      <c r="O70" s="606"/>
      <c r="P70" s="606"/>
      <c r="Q70" s="606"/>
      <c r="R70" s="606"/>
      <c r="S70" s="606"/>
      <c r="T70" s="606"/>
      <c r="U70" s="606"/>
      <c r="V70" s="606"/>
      <c r="W70" s="606"/>
      <c r="X70" s="606"/>
      <c r="Y70" s="606"/>
      <c r="Z70" s="606"/>
    </row>
    <row r="71" spans="3:26" s="17" customFormat="1" x14ac:dyDescent="0.35">
      <c r="M71" s="606"/>
      <c r="N71" s="606"/>
      <c r="O71" s="606"/>
      <c r="P71" s="606"/>
      <c r="Q71" s="606"/>
      <c r="R71" s="606"/>
      <c r="S71" s="606"/>
      <c r="T71" s="606"/>
      <c r="U71" s="606"/>
      <c r="V71" s="606"/>
      <c r="W71" s="606"/>
      <c r="X71" s="606"/>
      <c r="Y71" s="606"/>
      <c r="Z71" s="606"/>
    </row>
    <row r="72" spans="3:26" s="17" customFormat="1" x14ac:dyDescent="0.35">
      <c r="M72" s="606"/>
      <c r="N72" s="606"/>
      <c r="O72" s="606"/>
      <c r="P72" s="606"/>
      <c r="Q72" s="606"/>
      <c r="R72" s="606"/>
      <c r="S72" s="606"/>
      <c r="T72" s="606"/>
      <c r="U72" s="606"/>
      <c r="V72" s="606"/>
      <c r="W72" s="606"/>
      <c r="X72" s="606"/>
      <c r="Y72" s="606"/>
      <c r="Z72" s="606"/>
    </row>
    <row r="73" spans="3:26" s="17" customFormat="1" x14ac:dyDescent="0.35">
      <c r="M73" s="606"/>
      <c r="N73" s="606"/>
      <c r="O73" s="606"/>
      <c r="P73" s="606"/>
      <c r="Q73" s="606"/>
      <c r="R73" s="606"/>
      <c r="S73" s="606"/>
      <c r="T73" s="606"/>
      <c r="U73" s="606"/>
      <c r="V73" s="606"/>
      <c r="W73" s="606"/>
      <c r="X73" s="606"/>
      <c r="Y73" s="606"/>
      <c r="Z73" s="606"/>
    </row>
    <row r="74" spans="3:26" s="17" customFormat="1" x14ac:dyDescent="0.35">
      <c r="M74" s="606"/>
      <c r="N74" s="606"/>
      <c r="O74" s="606"/>
      <c r="P74" s="606"/>
      <c r="Q74" s="606"/>
      <c r="R74" s="606"/>
      <c r="S74" s="606"/>
      <c r="T74" s="606"/>
      <c r="U74" s="606"/>
      <c r="V74" s="606"/>
      <c r="W74" s="606"/>
      <c r="X74" s="606"/>
      <c r="Y74" s="606"/>
      <c r="Z74" s="606"/>
    </row>
    <row r="75" spans="3:26" s="17" customFormat="1" x14ac:dyDescent="0.35">
      <c r="M75" s="606"/>
      <c r="N75" s="606"/>
      <c r="O75" s="606"/>
      <c r="P75" s="606"/>
      <c r="Q75" s="606"/>
      <c r="R75" s="606"/>
      <c r="S75" s="606"/>
      <c r="T75" s="606"/>
      <c r="U75" s="606"/>
      <c r="V75" s="606"/>
      <c r="W75" s="606"/>
      <c r="X75" s="606"/>
      <c r="Y75" s="606"/>
      <c r="Z75" s="606"/>
    </row>
    <row r="76" spans="3:26" s="17" customFormat="1" x14ac:dyDescent="0.35">
      <c r="M76" s="606"/>
      <c r="N76" s="606"/>
      <c r="O76" s="606"/>
      <c r="P76" s="606"/>
      <c r="Q76" s="606"/>
      <c r="R76" s="606"/>
      <c r="S76" s="606"/>
      <c r="T76" s="606"/>
      <c r="U76" s="606"/>
      <c r="V76" s="606"/>
      <c r="W76" s="606"/>
      <c r="X76" s="606"/>
      <c r="Y76" s="606"/>
      <c r="Z76" s="606"/>
    </row>
    <row r="77" spans="3:26" s="17" customFormat="1" x14ac:dyDescent="0.35">
      <c r="M77" s="606"/>
      <c r="N77" s="606"/>
      <c r="O77" s="606"/>
      <c r="P77" s="606"/>
      <c r="Q77" s="606"/>
      <c r="R77" s="606"/>
      <c r="S77" s="606"/>
      <c r="T77" s="606"/>
      <c r="U77" s="606"/>
      <c r="V77" s="606"/>
      <c r="W77" s="606"/>
      <c r="X77" s="606"/>
      <c r="Y77" s="606"/>
      <c r="Z77" s="606"/>
    </row>
    <row r="78" spans="3:26" s="17" customFormat="1" x14ac:dyDescent="0.35">
      <c r="M78" s="606"/>
      <c r="N78" s="606"/>
      <c r="O78" s="606"/>
      <c r="P78" s="606"/>
      <c r="Q78" s="606"/>
      <c r="R78" s="606"/>
      <c r="S78" s="606"/>
      <c r="T78" s="606"/>
      <c r="U78" s="606"/>
      <c r="V78" s="606"/>
      <c r="W78" s="606"/>
      <c r="X78" s="606"/>
      <c r="Y78" s="606"/>
      <c r="Z78" s="606"/>
    </row>
    <row r="79" spans="3:26" s="17" customFormat="1" x14ac:dyDescent="0.35">
      <c r="M79" s="606"/>
      <c r="N79" s="606"/>
      <c r="O79" s="606"/>
      <c r="P79" s="606"/>
      <c r="Q79" s="606"/>
      <c r="R79" s="606"/>
      <c r="S79" s="606"/>
      <c r="T79" s="606"/>
      <c r="U79" s="606"/>
      <c r="V79" s="606"/>
      <c r="W79" s="606"/>
      <c r="X79" s="606"/>
      <c r="Y79" s="606"/>
      <c r="Z79" s="606"/>
    </row>
    <row r="80" spans="3:26" s="17" customFormat="1" x14ac:dyDescent="0.35">
      <c r="M80" s="606"/>
      <c r="N80" s="606"/>
      <c r="O80" s="606"/>
      <c r="P80" s="606"/>
      <c r="Q80" s="606"/>
      <c r="R80" s="606"/>
      <c r="S80" s="606"/>
      <c r="T80" s="606"/>
      <c r="U80" s="606"/>
      <c r="V80" s="606"/>
      <c r="W80" s="606"/>
      <c r="X80" s="606"/>
      <c r="Y80" s="606"/>
      <c r="Z80" s="606"/>
    </row>
    <row r="81" spans="13:26" s="17" customFormat="1" x14ac:dyDescent="0.35">
      <c r="M81" s="606"/>
      <c r="N81" s="606"/>
      <c r="O81" s="606"/>
      <c r="P81" s="606"/>
      <c r="Q81" s="606"/>
      <c r="R81" s="606"/>
      <c r="S81" s="606"/>
      <c r="T81" s="606"/>
      <c r="U81" s="606"/>
      <c r="V81" s="606"/>
      <c r="W81" s="606"/>
      <c r="X81" s="606"/>
      <c r="Y81" s="606"/>
      <c r="Z81" s="606"/>
    </row>
    <row r="82" spans="13:26" s="17" customFormat="1" x14ac:dyDescent="0.35">
      <c r="M82" s="606"/>
      <c r="N82" s="606"/>
      <c r="O82" s="606"/>
      <c r="P82" s="606"/>
      <c r="Q82" s="606"/>
      <c r="R82" s="606"/>
      <c r="S82" s="606"/>
      <c r="T82" s="606"/>
      <c r="U82" s="606"/>
      <c r="V82" s="606"/>
      <c r="W82" s="606"/>
      <c r="X82" s="606"/>
      <c r="Y82" s="606"/>
      <c r="Z82" s="606"/>
    </row>
    <row r="83" spans="13:26" s="17" customFormat="1" x14ac:dyDescent="0.35">
      <c r="M83" s="606"/>
      <c r="N83" s="606"/>
      <c r="O83" s="606"/>
      <c r="P83" s="606"/>
      <c r="Q83" s="606"/>
      <c r="R83" s="606"/>
      <c r="S83" s="606"/>
      <c r="T83" s="606"/>
      <c r="U83" s="606"/>
      <c r="V83" s="606"/>
      <c r="W83" s="606"/>
      <c r="X83" s="606"/>
      <c r="Y83" s="606"/>
      <c r="Z83" s="606"/>
    </row>
    <row r="84" spans="13:26" s="17" customFormat="1" x14ac:dyDescent="0.35">
      <c r="M84" s="606"/>
      <c r="N84" s="606"/>
      <c r="O84" s="606"/>
      <c r="P84" s="606"/>
      <c r="Q84" s="606"/>
      <c r="R84" s="606"/>
      <c r="S84" s="606"/>
      <c r="T84" s="606"/>
      <c r="U84" s="606"/>
      <c r="V84" s="606"/>
      <c r="W84" s="606"/>
      <c r="X84" s="606"/>
      <c r="Y84" s="606"/>
      <c r="Z84" s="606"/>
    </row>
    <row r="85" spans="13:26" s="17" customFormat="1" x14ac:dyDescent="0.35">
      <c r="M85" s="606"/>
      <c r="N85" s="606"/>
      <c r="O85" s="606"/>
      <c r="P85" s="606"/>
      <c r="Q85" s="606"/>
      <c r="R85" s="606"/>
      <c r="S85" s="606"/>
      <c r="T85" s="606"/>
      <c r="U85" s="606"/>
      <c r="V85" s="606"/>
      <c r="W85" s="606"/>
      <c r="X85" s="606"/>
      <c r="Y85" s="606"/>
      <c r="Z85" s="606"/>
    </row>
    <row r="86" spans="13:26" s="17" customFormat="1" x14ac:dyDescent="0.35">
      <c r="M86" s="606"/>
      <c r="N86" s="606"/>
      <c r="O86" s="606"/>
      <c r="P86" s="606"/>
      <c r="Q86" s="606"/>
      <c r="R86" s="606"/>
      <c r="S86" s="606"/>
      <c r="T86" s="606"/>
      <c r="U86" s="606"/>
      <c r="V86" s="606"/>
      <c r="W86" s="606"/>
      <c r="X86" s="606"/>
      <c r="Y86" s="606"/>
      <c r="Z86" s="606"/>
    </row>
    <row r="87" spans="13:26" s="17" customFormat="1" x14ac:dyDescent="0.35">
      <c r="M87" s="606"/>
      <c r="N87" s="606"/>
      <c r="O87" s="606"/>
      <c r="P87" s="606"/>
      <c r="Q87" s="606"/>
      <c r="R87" s="606"/>
      <c r="S87" s="606"/>
      <c r="T87" s="606"/>
      <c r="U87" s="606"/>
      <c r="V87" s="606"/>
      <c r="W87" s="606"/>
      <c r="X87" s="606"/>
      <c r="Y87" s="606"/>
      <c r="Z87" s="606"/>
    </row>
    <row r="88" spans="13:26" s="17" customFormat="1" x14ac:dyDescent="0.35">
      <c r="M88" s="606"/>
      <c r="N88" s="606"/>
      <c r="O88" s="606"/>
      <c r="P88" s="606"/>
      <c r="Q88" s="606"/>
      <c r="R88" s="606"/>
      <c r="S88" s="606"/>
      <c r="T88" s="606"/>
      <c r="U88" s="606"/>
      <c r="V88" s="606"/>
      <c r="W88" s="606"/>
      <c r="X88" s="606"/>
      <c r="Y88" s="606"/>
      <c r="Z88" s="606"/>
    </row>
    <row r="89" spans="13:26" s="17" customFormat="1" x14ac:dyDescent="0.35">
      <c r="M89" s="606"/>
      <c r="N89" s="606"/>
      <c r="O89" s="606"/>
      <c r="P89" s="606"/>
      <c r="Q89" s="606"/>
      <c r="R89" s="606"/>
      <c r="S89" s="606"/>
      <c r="T89" s="606"/>
      <c r="U89" s="606"/>
      <c r="V89" s="606"/>
      <c r="W89" s="606"/>
      <c r="X89" s="606"/>
      <c r="Y89" s="606"/>
      <c r="Z89" s="606"/>
    </row>
    <row r="90" spans="13:26" s="17" customFormat="1" x14ac:dyDescent="0.35">
      <c r="M90" s="606"/>
      <c r="N90" s="606"/>
      <c r="O90" s="606"/>
      <c r="P90" s="606"/>
      <c r="Q90" s="606"/>
      <c r="R90" s="606"/>
      <c r="S90" s="606"/>
      <c r="T90" s="606"/>
      <c r="U90" s="606"/>
      <c r="V90" s="606"/>
      <c r="W90" s="606"/>
      <c r="X90" s="606"/>
      <c r="Y90" s="606"/>
      <c r="Z90" s="606"/>
    </row>
    <row r="91" spans="13:26" s="17" customFormat="1" x14ac:dyDescent="0.35">
      <c r="M91" s="606"/>
      <c r="N91" s="606"/>
      <c r="O91" s="606"/>
      <c r="P91" s="606"/>
      <c r="Q91" s="606"/>
      <c r="R91" s="606"/>
      <c r="S91" s="606"/>
      <c r="T91" s="606"/>
      <c r="U91" s="606"/>
      <c r="V91" s="606"/>
      <c r="W91" s="606"/>
      <c r="X91" s="606"/>
      <c r="Y91" s="606"/>
      <c r="Z91" s="606"/>
    </row>
  </sheetData>
  <mergeCells count="16">
    <mergeCell ref="M46:V46"/>
    <mergeCell ref="A52:I52"/>
    <mergeCell ref="C4:C5"/>
    <mergeCell ref="A1:I1"/>
    <mergeCell ref="A2:I2"/>
    <mergeCell ref="A3:I3"/>
    <mergeCell ref="A4:A5"/>
    <mergeCell ref="D4:D5"/>
    <mergeCell ref="E4:E5"/>
    <mergeCell ref="F4:F5"/>
    <mergeCell ref="G4:G5"/>
    <mergeCell ref="H4:H5"/>
    <mergeCell ref="I4:I5"/>
    <mergeCell ref="A51:I51"/>
    <mergeCell ref="J4:J5"/>
    <mergeCell ref="K4:K5"/>
  </mergeCells>
  <pageMargins left="0.7" right="0.7" top="0.75" bottom="0.75" header="0.3" footer="0.3"/>
  <pageSetup orientation="portrait" horizontalDpi="1200" verticalDpi="1200" r:id="rId1"/>
  <headerFooter differentFirst="1">
    <oddHeader>&amp;C&amp;"Microsoft Sans Serif,Bold"CUI//SP-BUDG</oddHeader>
    <oddFooter>&amp;L  </oddFooter>
    <firstHeader>&amp;C&amp;"Microsoft Sans Serif,Bold"CUI//SP-BUDG</firstHeader>
    <firstFooter>&amp;LCUI Contact: cui@nsf.gov</first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3C33-271B-4D40-8993-308AA9E02969}">
  <sheetPr>
    <tabColor theme="7" tint="0.79998168889431442"/>
  </sheetPr>
  <dimension ref="A1:CA91"/>
  <sheetViews>
    <sheetView showGridLines="0" topLeftCell="A18" zoomScale="80" zoomScaleNormal="80" workbookViewId="0">
      <selection activeCell="E43" sqref="E43"/>
    </sheetView>
  </sheetViews>
  <sheetFormatPr defaultColWidth="8.6640625" defaultRowHeight="15" x14ac:dyDescent="0.35"/>
  <cols>
    <col min="1" max="1" width="78.33203125" style="228" bestFit="1" customWidth="1"/>
    <col min="2" max="2" width="7.6640625" style="228" bestFit="1" customWidth="1"/>
    <col min="3" max="6" width="11.6640625" style="228" customWidth="1"/>
    <col min="7" max="7" width="15.33203125" style="228" customWidth="1"/>
    <col min="8" max="9" width="11.6640625" style="228" customWidth="1"/>
    <col min="10" max="10" width="9.6640625" style="17" customWidth="1"/>
    <col min="11" max="11" width="10.33203125" style="17" bestFit="1" customWidth="1"/>
    <col min="12" max="14" width="9.6640625" style="17" customWidth="1"/>
    <col min="15" max="79" width="8.6640625" style="17"/>
    <col min="80" max="16384" width="8.6640625" style="228"/>
  </cols>
  <sheetData>
    <row r="1" spans="1:79" ht="14.7" customHeight="1" x14ac:dyDescent="0.35">
      <c r="A1" s="727" t="s">
        <v>516</v>
      </c>
      <c r="B1" s="727"/>
      <c r="C1" s="727"/>
      <c r="D1" s="727"/>
      <c r="E1" s="727"/>
      <c r="F1" s="727"/>
      <c r="G1" s="727"/>
      <c r="H1" s="727"/>
      <c r="I1" s="727"/>
    </row>
    <row r="2" spans="1:79" ht="14.7" customHeight="1" x14ac:dyDescent="0.35">
      <c r="A2" s="727" t="s">
        <v>908</v>
      </c>
      <c r="B2" s="727"/>
      <c r="C2" s="727"/>
      <c r="D2" s="727"/>
      <c r="E2" s="727"/>
      <c r="F2" s="727"/>
      <c r="G2" s="727"/>
      <c r="H2" s="727"/>
      <c r="I2" s="727"/>
      <c r="K2" s="85" t="s">
        <v>947</v>
      </c>
      <c r="L2" s="85"/>
      <c r="M2" s="85"/>
    </row>
    <row r="3" spans="1:79" s="592" customFormat="1" ht="14.7" customHeight="1" thickBot="1" x14ac:dyDescent="0.4">
      <c r="A3" s="874" t="s">
        <v>369</v>
      </c>
      <c r="B3" s="874"/>
      <c r="C3" s="874"/>
      <c r="D3" s="874"/>
      <c r="E3" s="874"/>
      <c r="F3" s="874"/>
      <c r="G3" s="874"/>
      <c r="H3" s="874"/>
      <c r="I3" s="874"/>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row>
    <row r="4" spans="1:79" ht="43.2" customHeight="1" x14ac:dyDescent="0.35">
      <c r="A4" s="875"/>
      <c r="B4" s="609"/>
      <c r="C4" s="872" t="s">
        <v>927</v>
      </c>
      <c r="D4" s="872" t="s">
        <v>373</v>
      </c>
      <c r="E4" s="808" t="s">
        <v>906</v>
      </c>
      <c r="F4" s="879" t="s">
        <v>941</v>
      </c>
      <c r="G4" s="879" t="s">
        <v>942</v>
      </c>
      <c r="H4" s="879" t="s">
        <v>911</v>
      </c>
      <c r="I4" s="883" t="s">
        <v>912</v>
      </c>
      <c r="J4" s="814" t="s">
        <v>956</v>
      </c>
      <c r="K4" s="814" t="s">
        <v>957</v>
      </c>
    </row>
    <row r="5" spans="1:79" s="290" customFormat="1" ht="22.95" customHeight="1" thickBot="1" x14ac:dyDescent="0.4">
      <c r="A5" s="876"/>
      <c r="B5" s="608"/>
      <c r="C5" s="873"/>
      <c r="D5" s="873"/>
      <c r="E5" s="886"/>
      <c r="F5" s="880"/>
      <c r="G5" s="880"/>
      <c r="H5" s="880"/>
      <c r="I5" s="884"/>
      <c r="J5" s="815"/>
      <c r="K5" s="815"/>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row>
    <row r="6" spans="1:79" s="594" customFormat="1" ht="14.7" customHeight="1" x14ac:dyDescent="0.35">
      <c r="A6" s="470" t="s">
        <v>791</v>
      </c>
      <c r="B6" s="593"/>
      <c r="C6" s="593"/>
      <c r="D6" s="593"/>
      <c r="E6" s="635"/>
      <c r="F6" s="617"/>
      <c r="G6" s="617"/>
      <c r="H6" s="617"/>
      <c r="I6" s="626"/>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row>
    <row r="7" spans="1:79" s="594" customFormat="1" ht="14.7" customHeight="1" x14ac:dyDescent="0.35">
      <c r="A7" s="595" t="s">
        <v>134</v>
      </c>
      <c r="B7" s="636">
        <v>1</v>
      </c>
      <c r="C7" s="596">
        <v>18.5</v>
      </c>
      <c r="D7" s="596">
        <v>20.5</v>
      </c>
      <c r="E7" s="637">
        <v>19</v>
      </c>
      <c r="F7" s="596">
        <v>0</v>
      </c>
      <c r="G7" s="596">
        <v>2</v>
      </c>
      <c r="H7" s="596">
        <f>SUM(E7:F7)</f>
        <v>19</v>
      </c>
      <c r="I7" s="610">
        <f>SUM(E7:G7)</f>
        <v>21</v>
      </c>
      <c r="J7" s="32">
        <f>I7-C7</f>
        <v>2.5</v>
      </c>
      <c r="K7" s="32">
        <f>I7-D7</f>
        <v>0.5</v>
      </c>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row>
    <row r="8" spans="1:79" s="592" customFormat="1" ht="14.7" customHeight="1" x14ac:dyDescent="0.35">
      <c r="A8" s="597" t="s">
        <v>83</v>
      </c>
      <c r="B8" s="636">
        <v>1</v>
      </c>
      <c r="C8" s="598">
        <v>65</v>
      </c>
      <c r="D8" s="598">
        <v>74.5</v>
      </c>
      <c r="E8" s="638">
        <v>70</v>
      </c>
      <c r="F8" s="598"/>
      <c r="G8" s="598">
        <v>16</v>
      </c>
      <c r="H8" s="596">
        <f>SUM(E8:F8)</f>
        <v>70</v>
      </c>
      <c r="I8" s="610">
        <f>SUM(E8:G8)</f>
        <v>86</v>
      </c>
      <c r="J8" s="32">
        <f t="shared" ref="J8:J52" si="0">I8-C8</f>
        <v>21</v>
      </c>
      <c r="K8" s="32">
        <f t="shared" ref="K8:K52" si="1">I8-D8</f>
        <v>11.5</v>
      </c>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row>
    <row r="9" spans="1:79" s="594" customFormat="1" ht="14.7" customHeight="1" x14ac:dyDescent="0.35">
      <c r="A9" s="597" t="s">
        <v>792</v>
      </c>
      <c r="B9" s="636">
        <v>1</v>
      </c>
      <c r="C9" s="598">
        <v>6.64</v>
      </c>
      <c r="D9" s="598">
        <v>4.6399999999999997</v>
      </c>
      <c r="E9" s="638">
        <v>3.74</v>
      </c>
      <c r="F9" s="598">
        <v>0</v>
      </c>
      <c r="G9" s="598">
        <v>0</v>
      </c>
      <c r="H9" s="596">
        <f t="shared" ref="H9:H33" si="2">SUM(E9:F9)</f>
        <v>3.74</v>
      </c>
      <c r="I9" s="610">
        <f t="shared" ref="I9:I33" si="3">SUM(E9:G9)</f>
        <v>3.74</v>
      </c>
      <c r="J9" s="32">
        <f t="shared" si="0"/>
        <v>-2.8999999999999995</v>
      </c>
      <c r="K9" s="32">
        <f t="shared" si="1"/>
        <v>-0.89999999999999947</v>
      </c>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row>
    <row r="10" spans="1:79" s="594" customFormat="1" ht="14.7" customHeight="1" x14ac:dyDescent="0.35">
      <c r="A10" s="597" t="s">
        <v>84</v>
      </c>
      <c r="B10" s="636">
        <v>1</v>
      </c>
      <c r="C10" s="598">
        <v>8.5</v>
      </c>
      <c r="D10" s="598">
        <v>14</v>
      </c>
      <c r="E10" s="638">
        <v>9.5</v>
      </c>
      <c r="F10" s="598">
        <v>0</v>
      </c>
      <c r="G10" s="598">
        <v>3</v>
      </c>
      <c r="H10" s="596">
        <f t="shared" si="2"/>
        <v>9.5</v>
      </c>
      <c r="I10" s="610">
        <f t="shared" si="3"/>
        <v>12.5</v>
      </c>
      <c r="J10" s="32">
        <f t="shared" si="0"/>
        <v>4</v>
      </c>
      <c r="K10" s="32">
        <f t="shared" si="1"/>
        <v>-1.5</v>
      </c>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row>
    <row r="11" spans="1:79" s="594" customFormat="1" ht="14.7" customHeight="1" x14ac:dyDescent="0.35">
      <c r="A11" s="597" t="s">
        <v>793</v>
      </c>
      <c r="B11" s="636">
        <v>1</v>
      </c>
      <c r="C11" s="598">
        <v>5</v>
      </c>
      <c r="D11" s="598">
        <v>10.5</v>
      </c>
      <c r="E11" s="638">
        <v>8</v>
      </c>
      <c r="F11" s="598">
        <v>0</v>
      </c>
      <c r="G11" s="598">
        <v>0</v>
      </c>
      <c r="H11" s="596">
        <f t="shared" si="2"/>
        <v>8</v>
      </c>
      <c r="I11" s="610">
        <f t="shared" si="3"/>
        <v>8</v>
      </c>
      <c r="J11" s="32">
        <f t="shared" si="0"/>
        <v>3</v>
      </c>
      <c r="K11" s="32">
        <f t="shared" si="1"/>
        <v>-2.5</v>
      </c>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row>
    <row r="12" spans="1:79" s="594" customFormat="1" x14ac:dyDescent="0.35">
      <c r="A12" s="597" t="s">
        <v>299</v>
      </c>
      <c r="B12" s="636">
        <v>1</v>
      </c>
      <c r="C12" s="598">
        <v>7.5</v>
      </c>
      <c r="D12" s="598">
        <v>9</v>
      </c>
      <c r="E12" s="638">
        <v>7.5</v>
      </c>
      <c r="F12" s="598">
        <v>0</v>
      </c>
      <c r="G12" s="598">
        <v>0</v>
      </c>
      <c r="H12" s="596">
        <f t="shared" si="2"/>
        <v>7.5</v>
      </c>
      <c r="I12" s="610">
        <f t="shared" si="3"/>
        <v>7.5</v>
      </c>
      <c r="J12" s="32">
        <f t="shared" si="0"/>
        <v>0</v>
      </c>
      <c r="K12" s="32">
        <f t="shared" si="1"/>
        <v>-1.5</v>
      </c>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row>
    <row r="13" spans="1:79" s="594" customFormat="1" x14ac:dyDescent="0.35">
      <c r="A13" s="597" t="s">
        <v>137</v>
      </c>
      <c r="B13" s="636">
        <v>1</v>
      </c>
      <c r="C13" s="598">
        <v>0.28000000000000003</v>
      </c>
      <c r="D13" s="598">
        <v>0.28000000000000003</v>
      </c>
      <c r="E13" s="638">
        <v>0.28000000000000003</v>
      </c>
      <c r="F13" s="598">
        <v>0</v>
      </c>
      <c r="G13" s="598">
        <v>0</v>
      </c>
      <c r="H13" s="596">
        <f t="shared" si="2"/>
        <v>0.28000000000000003</v>
      </c>
      <c r="I13" s="610">
        <f t="shared" si="3"/>
        <v>0.28000000000000003</v>
      </c>
      <c r="J13" s="32">
        <f t="shared" si="0"/>
        <v>0</v>
      </c>
      <c r="K13" s="32">
        <f t="shared" si="1"/>
        <v>0</v>
      </c>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row>
    <row r="14" spans="1:79" s="594" customFormat="1" ht="14.7" customHeight="1" x14ac:dyDescent="0.35">
      <c r="A14" s="597" t="s">
        <v>101</v>
      </c>
      <c r="B14" s="636">
        <v>1</v>
      </c>
      <c r="C14" s="598">
        <v>26</v>
      </c>
      <c r="D14" s="598">
        <v>41</v>
      </c>
      <c r="E14" s="638">
        <v>29</v>
      </c>
      <c r="F14" s="598">
        <v>0</v>
      </c>
      <c r="G14" s="598">
        <v>3</v>
      </c>
      <c r="H14" s="596">
        <f t="shared" si="2"/>
        <v>29</v>
      </c>
      <c r="I14" s="610">
        <f t="shared" si="3"/>
        <v>32</v>
      </c>
      <c r="J14" s="32">
        <f t="shared" si="0"/>
        <v>6</v>
      </c>
      <c r="K14" s="32">
        <f t="shared" si="1"/>
        <v>-9</v>
      </c>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row>
    <row r="15" spans="1:79" s="594" customFormat="1" ht="14.7" customHeight="1" x14ac:dyDescent="0.35">
      <c r="A15" s="597" t="s">
        <v>300</v>
      </c>
      <c r="B15" s="636">
        <v>1</v>
      </c>
      <c r="C15" s="598">
        <v>14.75</v>
      </c>
      <c r="D15" s="598">
        <v>12.75</v>
      </c>
      <c r="E15" s="638">
        <v>14.75</v>
      </c>
      <c r="F15" s="598">
        <v>0</v>
      </c>
      <c r="G15" s="598">
        <v>0</v>
      </c>
      <c r="H15" s="596">
        <f t="shared" si="2"/>
        <v>14.75</v>
      </c>
      <c r="I15" s="610">
        <f t="shared" si="3"/>
        <v>14.75</v>
      </c>
      <c r="J15" s="32">
        <f t="shared" si="0"/>
        <v>0</v>
      </c>
      <c r="K15" s="32">
        <f t="shared" si="1"/>
        <v>2</v>
      </c>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row>
    <row r="16" spans="1:79" s="594" customFormat="1" ht="14.7" customHeight="1" x14ac:dyDescent="0.35">
      <c r="A16" s="597" t="s">
        <v>928</v>
      </c>
      <c r="B16" s="636">
        <v>1</v>
      </c>
      <c r="C16" s="598">
        <v>0</v>
      </c>
      <c r="D16" s="598">
        <v>20.7</v>
      </c>
      <c r="E16" s="638">
        <v>8.5</v>
      </c>
      <c r="F16" s="598">
        <v>0</v>
      </c>
      <c r="G16" s="598">
        <v>0</v>
      </c>
      <c r="H16" s="596">
        <f t="shared" si="2"/>
        <v>8.5</v>
      </c>
      <c r="I16" s="610">
        <f t="shared" si="3"/>
        <v>8.5</v>
      </c>
      <c r="J16" s="32">
        <f t="shared" si="0"/>
        <v>8.5</v>
      </c>
      <c r="K16" s="32">
        <f t="shared" si="1"/>
        <v>-12.2</v>
      </c>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row>
    <row r="17" spans="1:79" s="594" customFormat="1" ht="14.7" customHeight="1" x14ac:dyDescent="0.35">
      <c r="A17" s="597" t="s">
        <v>301</v>
      </c>
      <c r="B17" s="636">
        <v>1</v>
      </c>
      <c r="C17" s="598">
        <v>3</v>
      </c>
      <c r="D17" s="598">
        <v>7</v>
      </c>
      <c r="E17" s="638">
        <v>7</v>
      </c>
      <c r="F17" s="598">
        <v>0</v>
      </c>
      <c r="G17" s="598">
        <v>0</v>
      </c>
      <c r="H17" s="596">
        <f t="shared" si="2"/>
        <v>7</v>
      </c>
      <c r="I17" s="610">
        <f t="shared" si="3"/>
        <v>7</v>
      </c>
      <c r="J17" s="32">
        <f t="shared" si="0"/>
        <v>4</v>
      </c>
      <c r="K17" s="32">
        <f t="shared" si="1"/>
        <v>0</v>
      </c>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row>
    <row r="18" spans="1:79" s="594" customFormat="1" ht="14.7" customHeight="1" x14ac:dyDescent="0.35">
      <c r="A18" s="597" t="s">
        <v>305</v>
      </c>
      <c r="B18" s="636">
        <v>1</v>
      </c>
      <c r="C18" s="598">
        <v>5.0999999999999996</v>
      </c>
      <c r="D18" s="598">
        <v>6</v>
      </c>
      <c r="E18" s="638">
        <v>5.0999999999999996</v>
      </c>
      <c r="F18" s="598">
        <v>0</v>
      </c>
      <c r="G18" s="598">
        <v>0</v>
      </c>
      <c r="H18" s="596">
        <f t="shared" si="2"/>
        <v>5.0999999999999996</v>
      </c>
      <c r="I18" s="610">
        <f t="shared" si="3"/>
        <v>5.0999999999999996</v>
      </c>
      <c r="J18" s="32">
        <f t="shared" si="0"/>
        <v>0</v>
      </c>
      <c r="K18" s="32">
        <f t="shared" si="1"/>
        <v>-0.90000000000000036</v>
      </c>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row>
    <row r="19" spans="1:79" s="594" customFormat="1" x14ac:dyDescent="0.35">
      <c r="A19" s="597" t="s">
        <v>907</v>
      </c>
      <c r="B19" s="636">
        <v>1</v>
      </c>
      <c r="C19" s="598">
        <v>23</v>
      </c>
      <c r="D19" s="598">
        <v>50.5</v>
      </c>
      <c r="E19" s="638">
        <v>27</v>
      </c>
      <c r="F19" s="598">
        <v>0</v>
      </c>
      <c r="G19" s="598">
        <v>5</v>
      </c>
      <c r="H19" s="596">
        <f t="shared" si="2"/>
        <v>27</v>
      </c>
      <c r="I19" s="610">
        <f t="shared" si="3"/>
        <v>32</v>
      </c>
      <c r="J19" s="32">
        <f t="shared" si="0"/>
        <v>9</v>
      </c>
      <c r="K19" s="32">
        <f t="shared" si="1"/>
        <v>-18.5</v>
      </c>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row>
    <row r="20" spans="1:79" s="594" customFormat="1" ht="16.95" customHeight="1" x14ac:dyDescent="0.35">
      <c r="A20" s="597" t="s">
        <v>143</v>
      </c>
      <c r="B20" s="636">
        <v>1</v>
      </c>
      <c r="C20" s="598">
        <v>7.4</v>
      </c>
      <c r="D20" s="598">
        <v>7.64</v>
      </c>
      <c r="E20" s="638">
        <v>7.4</v>
      </c>
      <c r="F20" s="598">
        <v>0</v>
      </c>
      <c r="G20" s="598">
        <v>0</v>
      </c>
      <c r="H20" s="596">
        <f t="shared" si="2"/>
        <v>7.4</v>
      </c>
      <c r="I20" s="610">
        <f t="shared" si="3"/>
        <v>7.4</v>
      </c>
      <c r="J20" s="32">
        <f t="shared" si="0"/>
        <v>0</v>
      </c>
      <c r="K20" s="32">
        <f t="shared" si="1"/>
        <v>-0.23999999999999932</v>
      </c>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row>
    <row r="21" spans="1:79" s="592" customFormat="1" ht="30" x14ac:dyDescent="0.35">
      <c r="A21" s="597" t="s">
        <v>913</v>
      </c>
      <c r="B21" s="636">
        <v>1</v>
      </c>
      <c r="C21" s="598">
        <v>0</v>
      </c>
      <c r="D21" s="598">
        <v>50</v>
      </c>
      <c r="E21" s="638">
        <v>35</v>
      </c>
      <c r="F21" s="598">
        <v>0</v>
      </c>
      <c r="G21" s="598">
        <v>0</v>
      </c>
      <c r="H21" s="596">
        <f t="shared" si="2"/>
        <v>35</v>
      </c>
      <c r="I21" s="610">
        <f t="shared" si="3"/>
        <v>35</v>
      </c>
      <c r="J21" s="32">
        <f t="shared" si="0"/>
        <v>35</v>
      </c>
      <c r="K21" s="32">
        <f t="shared" si="1"/>
        <v>-15</v>
      </c>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row>
    <row r="22" spans="1:79" s="592" customFormat="1" x14ac:dyDescent="0.35">
      <c r="A22" s="597" t="s">
        <v>794</v>
      </c>
      <c r="B22" s="636">
        <v>1</v>
      </c>
      <c r="C22" s="598">
        <v>22</v>
      </c>
      <c r="D22" s="598">
        <v>37.93</v>
      </c>
      <c r="E22" s="638">
        <v>10</v>
      </c>
      <c r="F22" s="598">
        <v>15</v>
      </c>
      <c r="G22" s="598">
        <v>0</v>
      </c>
      <c r="H22" s="596">
        <f t="shared" si="2"/>
        <v>25</v>
      </c>
      <c r="I22" s="610">
        <f t="shared" si="3"/>
        <v>25</v>
      </c>
      <c r="J22" s="32">
        <f t="shared" si="0"/>
        <v>3</v>
      </c>
      <c r="K22" s="32">
        <f t="shared" si="1"/>
        <v>-12.93</v>
      </c>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row>
    <row r="23" spans="1:79" s="594" customFormat="1" ht="14.7" customHeight="1" x14ac:dyDescent="0.35">
      <c r="A23" s="597" t="s">
        <v>914</v>
      </c>
      <c r="B23" s="636">
        <v>1</v>
      </c>
      <c r="C23" s="598">
        <v>38</v>
      </c>
      <c r="D23" s="598">
        <v>48.5</v>
      </c>
      <c r="E23" s="638">
        <v>43</v>
      </c>
      <c r="F23" s="598">
        <v>0</v>
      </c>
      <c r="G23" s="598">
        <v>3</v>
      </c>
      <c r="H23" s="596">
        <f t="shared" si="2"/>
        <v>43</v>
      </c>
      <c r="I23" s="610">
        <f t="shared" si="3"/>
        <v>46</v>
      </c>
      <c r="J23" s="32">
        <f t="shared" si="0"/>
        <v>8</v>
      </c>
      <c r="K23" s="32">
        <f t="shared" si="1"/>
        <v>-2.5</v>
      </c>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row>
    <row r="24" spans="1:79" s="592" customFormat="1" x14ac:dyDescent="0.35">
      <c r="A24" s="597" t="s">
        <v>915</v>
      </c>
      <c r="B24" s="636">
        <v>1</v>
      </c>
      <c r="C24" s="598">
        <v>48.5</v>
      </c>
      <c r="D24" s="598">
        <v>60.5</v>
      </c>
      <c r="E24" s="638">
        <v>53.5</v>
      </c>
      <c r="F24" s="598">
        <v>0</v>
      </c>
      <c r="G24" s="598">
        <v>2</v>
      </c>
      <c r="H24" s="596">
        <f t="shared" si="2"/>
        <v>53.5</v>
      </c>
      <c r="I24" s="610">
        <f t="shared" si="3"/>
        <v>55.5</v>
      </c>
      <c r="J24" s="32">
        <f t="shared" si="0"/>
        <v>7</v>
      </c>
      <c r="K24" s="32">
        <f t="shared" si="1"/>
        <v>-5</v>
      </c>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row>
    <row r="25" spans="1:79" s="592" customFormat="1" ht="14.7" customHeight="1" x14ac:dyDescent="0.35">
      <c r="A25" s="597" t="s">
        <v>149</v>
      </c>
      <c r="B25" s="636">
        <v>1</v>
      </c>
      <c r="C25" s="598">
        <v>51.5</v>
      </c>
      <c r="D25" s="598">
        <v>70.5</v>
      </c>
      <c r="E25" s="638">
        <v>55.5</v>
      </c>
      <c r="F25" s="598">
        <v>0</v>
      </c>
      <c r="G25" s="598">
        <v>0</v>
      </c>
      <c r="H25" s="596">
        <f t="shared" si="2"/>
        <v>55.5</v>
      </c>
      <c r="I25" s="610">
        <f t="shared" si="3"/>
        <v>55.5</v>
      </c>
      <c r="J25" s="32">
        <f t="shared" si="0"/>
        <v>4</v>
      </c>
      <c r="K25" s="32">
        <f t="shared" si="1"/>
        <v>-15</v>
      </c>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row>
    <row r="26" spans="1:79" s="592" customFormat="1" ht="14.7" customHeight="1" x14ac:dyDescent="0.35">
      <c r="A26" s="597" t="s">
        <v>929</v>
      </c>
      <c r="B26" s="636">
        <v>1</v>
      </c>
      <c r="C26" s="598">
        <v>1</v>
      </c>
      <c r="D26" s="598">
        <v>20</v>
      </c>
      <c r="E26" s="638">
        <v>10</v>
      </c>
      <c r="F26" s="598">
        <v>0</v>
      </c>
      <c r="G26" s="598">
        <v>0</v>
      </c>
      <c r="H26" s="596">
        <f t="shared" si="2"/>
        <v>10</v>
      </c>
      <c r="I26" s="610">
        <f t="shared" si="3"/>
        <v>10</v>
      </c>
      <c r="J26" s="32">
        <f t="shared" si="0"/>
        <v>9</v>
      </c>
      <c r="K26" s="32">
        <f t="shared" si="1"/>
        <v>-10</v>
      </c>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row>
    <row r="27" spans="1:79" s="592" customFormat="1" ht="14.7" customHeight="1" x14ac:dyDescent="0.35">
      <c r="A27" s="597" t="s">
        <v>362</v>
      </c>
      <c r="B27" s="636">
        <v>1</v>
      </c>
      <c r="C27" s="598">
        <v>10</v>
      </c>
      <c r="D27" s="598">
        <v>10.5</v>
      </c>
      <c r="E27" s="638">
        <v>12.5</v>
      </c>
      <c r="F27" s="598">
        <v>0</v>
      </c>
      <c r="G27" s="598">
        <v>0</v>
      </c>
      <c r="H27" s="596">
        <f t="shared" si="2"/>
        <v>12.5</v>
      </c>
      <c r="I27" s="610">
        <f t="shared" si="3"/>
        <v>12.5</v>
      </c>
      <c r="J27" s="32">
        <f t="shared" si="0"/>
        <v>2.5</v>
      </c>
      <c r="K27" s="32">
        <f t="shared" si="1"/>
        <v>2</v>
      </c>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row>
    <row r="28" spans="1:79" s="592" customFormat="1" ht="14.7" customHeight="1" x14ac:dyDescent="0.35">
      <c r="A28" s="597" t="s">
        <v>930</v>
      </c>
      <c r="B28" s="636">
        <v>1</v>
      </c>
      <c r="C28" s="598" t="s">
        <v>931</v>
      </c>
      <c r="D28" s="598" t="s">
        <v>916</v>
      </c>
      <c r="E28" s="638" t="s">
        <v>917</v>
      </c>
      <c r="F28" s="598">
        <v>0</v>
      </c>
      <c r="G28" s="598">
        <v>0</v>
      </c>
      <c r="H28" s="598" t="s">
        <v>917</v>
      </c>
      <c r="I28" s="611" t="s">
        <v>917</v>
      </c>
      <c r="J28" s="32"/>
      <c r="K28" s="32"/>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row>
    <row r="29" spans="1:79" s="592" customFormat="1" x14ac:dyDescent="0.35">
      <c r="A29" s="597" t="s">
        <v>932</v>
      </c>
      <c r="B29" s="636">
        <v>1</v>
      </c>
      <c r="C29" s="598">
        <v>30</v>
      </c>
      <c r="D29" s="598">
        <v>59.1</v>
      </c>
      <c r="E29" s="638">
        <v>30</v>
      </c>
      <c r="F29" s="598">
        <v>0</v>
      </c>
      <c r="G29" s="598">
        <v>0</v>
      </c>
      <c r="H29" s="596">
        <f t="shared" ref="H29" si="4">SUM(E29:F29)</f>
        <v>30</v>
      </c>
      <c r="I29" s="610">
        <f t="shared" ref="I29" si="5">SUM(E29:G29)</f>
        <v>30</v>
      </c>
      <c r="J29" s="32">
        <f t="shared" si="0"/>
        <v>0</v>
      </c>
      <c r="K29" s="32">
        <f t="shared" si="1"/>
        <v>-29.1</v>
      </c>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row>
    <row r="30" spans="1:79" s="592" customFormat="1" ht="14.7" customHeight="1" x14ac:dyDescent="0.35">
      <c r="A30" s="597" t="s">
        <v>321</v>
      </c>
      <c r="B30" s="636">
        <v>1</v>
      </c>
      <c r="C30" s="598">
        <v>8</v>
      </c>
      <c r="D30" s="598">
        <v>8</v>
      </c>
      <c r="E30" s="638">
        <v>8</v>
      </c>
      <c r="F30" s="598">
        <v>0</v>
      </c>
      <c r="G30" s="598">
        <v>0</v>
      </c>
      <c r="H30" s="596">
        <f t="shared" si="2"/>
        <v>8</v>
      </c>
      <c r="I30" s="610">
        <f t="shared" si="3"/>
        <v>8</v>
      </c>
      <c r="J30" s="32">
        <f t="shared" si="0"/>
        <v>0</v>
      </c>
      <c r="K30" s="32">
        <f t="shared" si="1"/>
        <v>0</v>
      </c>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row>
    <row r="31" spans="1:79" s="592" customFormat="1" ht="14.7" customHeight="1" x14ac:dyDescent="0.35">
      <c r="A31" s="597" t="s">
        <v>918</v>
      </c>
      <c r="B31" s="636">
        <v>1</v>
      </c>
      <c r="C31" s="598">
        <v>1.5</v>
      </c>
      <c r="D31" s="598">
        <v>6</v>
      </c>
      <c r="E31" s="638">
        <v>1.5</v>
      </c>
      <c r="F31" s="598">
        <v>0</v>
      </c>
      <c r="G31" s="598">
        <v>0</v>
      </c>
      <c r="H31" s="596">
        <f t="shared" si="2"/>
        <v>1.5</v>
      </c>
      <c r="I31" s="610">
        <f t="shared" si="3"/>
        <v>1.5</v>
      </c>
      <c r="J31" s="32">
        <f t="shared" si="0"/>
        <v>0</v>
      </c>
      <c r="K31" s="32">
        <f t="shared" si="1"/>
        <v>-4.5</v>
      </c>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row>
    <row r="32" spans="1:79" s="592" customFormat="1" ht="14.7" customHeight="1" x14ac:dyDescent="0.35">
      <c r="A32" s="597" t="s">
        <v>796</v>
      </c>
      <c r="B32" s="636">
        <v>1</v>
      </c>
      <c r="C32" s="598">
        <v>1.5</v>
      </c>
      <c r="D32" s="598">
        <v>1.5</v>
      </c>
      <c r="E32" s="638">
        <v>1.5</v>
      </c>
      <c r="F32" s="598">
        <v>0</v>
      </c>
      <c r="G32" s="598">
        <v>0</v>
      </c>
      <c r="H32" s="596">
        <f t="shared" si="2"/>
        <v>1.5</v>
      </c>
      <c r="I32" s="610">
        <f t="shared" si="3"/>
        <v>1.5</v>
      </c>
      <c r="J32" s="32">
        <f t="shared" si="0"/>
        <v>0</v>
      </c>
      <c r="K32" s="32">
        <f t="shared" si="1"/>
        <v>0</v>
      </c>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row>
    <row r="33" spans="1:79" s="592" customFormat="1" ht="14.7" customHeight="1" thickBot="1" x14ac:dyDescent="0.4">
      <c r="A33" s="597" t="s">
        <v>132</v>
      </c>
      <c r="B33" s="636">
        <v>1</v>
      </c>
      <c r="C33" s="598">
        <v>17.5</v>
      </c>
      <c r="D33" s="598">
        <v>23</v>
      </c>
      <c r="E33" s="638">
        <v>20</v>
      </c>
      <c r="F33" s="598">
        <v>0</v>
      </c>
      <c r="G33" s="598">
        <v>6</v>
      </c>
      <c r="H33" s="596">
        <f t="shared" si="2"/>
        <v>20</v>
      </c>
      <c r="I33" s="610">
        <f t="shared" si="3"/>
        <v>26</v>
      </c>
      <c r="J33" s="32">
        <f t="shared" si="0"/>
        <v>8.5</v>
      </c>
      <c r="K33" s="32">
        <f t="shared" si="1"/>
        <v>3</v>
      </c>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row>
    <row r="34" spans="1:79" s="592" customFormat="1" ht="15.45" customHeight="1" thickBot="1" x14ac:dyDescent="0.4">
      <c r="A34" s="639" t="s">
        <v>797</v>
      </c>
      <c r="B34" s="640"/>
      <c r="C34" s="641">
        <f>SUM(C7:C33)</f>
        <v>420.17</v>
      </c>
      <c r="D34" s="641">
        <f>SUM(D7:D33)</f>
        <v>674.54000000000008</v>
      </c>
      <c r="E34" s="642">
        <f t="shared" ref="E34:F34" si="6">SUM(E7:E33)</f>
        <v>497.27</v>
      </c>
      <c r="F34" s="641">
        <f t="shared" si="6"/>
        <v>15</v>
      </c>
      <c r="G34" s="641">
        <f>SUM(G7:G26,G29:G33)</f>
        <v>40</v>
      </c>
      <c r="H34" s="641">
        <f>SUM(H7:H33)</f>
        <v>512.27</v>
      </c>
      <c r="I34" s="627">
        <f>SUM(I7:I33)</f>
        <v>552.27</v>
      </c>
      <c r="J34" s="32">
        <f t="shared" si="0"/>
        <v>132.09999999999997</v>
      </c>
      <c r="K34" s="32">
        <f t="shared" si="1"/>
        <v>-122.2700000000001</v>
      </c>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row>
    <row r="35" spans="1:79" s="592" customFormat="1" ht="14.7" customHeight="1" x14ac:dyDescent="0.35">
      <c r="A35" s="601" t="s">
        <v>919</v>
      </c>
      <c r="B35" s="602"/>
      <c r="C35" s="602"/>
      <c r="D35" s="602"/>
      <c r="E35" s="643"/>
      <c r="F35" s="603"/>
      <c r="G35" s="603"/>
      <c r="H35" s="603"/>
      <c r="I35" s="613"/>
      <c r="J35" s="32"/>
      <c r="K35" s="32"/>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row>
    <row r="36" spans="1:79" s="592" customFormat="1" ht="14.7" customHeight="1" thickBot="1" x14ac:dyDescent="0.4">
      <c r="A36" s="597" t="s">
        <v>14</v>
      </c>
      <c r="B36" s="636">
        <v>1</v>
      </c>
      <c r="C36" s="596">
        <v>215</v>
      </c>
      <c r="D36" s="596">
        <v>247.25</v>
      </c>
      <c r="E36" s="637">
        <v>205</v>
      </c>
      <c r="F36" s="596">
        <v>50</v>
      </c>
      <c r="G36" s="598">
        <v>0</v>
      </c>
      <c r="H36" s="596">
        <f>SUM(E36:F36)</f>
        <v>255</v>
      </c>
      <c r="I36" s="610">
        <f>SUM(E36:G36)</f>
        <v>255</v>
      </c>
      <c r="J36" s="32">
        <f t="shared" si="0"/>
        <v>40</v>
      </c>
      <c r="K36" s="32">
        <f t="shared" si="1"/>
        <v>7.75</v>
      </c>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row>
    <row r="37" spans="1:79" s="592" customFormat="1" ht="15.45" customHeight="1" thickBot="1" x14ac:dyDescent="0.4">
      <c r="A37" s="639" t="s">
        <v>920</v>
      </c>
      <c r="B37" s="640"/>
      <c r="C37" s="641">
        <f>SUM(C36)</f>
        <v>215</v>
      </c>
      <c r="D37" s="641">
        <f>SUM(D36)</f>
        <v>247.25</v>
      </c>
      <c r="E37" s="642">
        <f t="shared" ref="E37:F37" si="7">SUM(E36)</f>
        <v>205</v>
      </c>
      <c r="F37" s="641">
        <f t="shared" si="7"/>
        <v>50</v>
      </c>
      <c r="G37" s="641">
        <v>0</v>
      </c>
      <c r="H37" s="641">
        <v>255</v>
      </c>
      <c r="I37" s="627">
        <v>255</v>
      </c>
      <c r="J37" s="32">
        <f t="shared" si="0"/>
        <v>40</v>
      </c>
      <c r="K37" s="32">
        <f t="shared" si="1"/>
        <v>7.75</v>
      </c>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row>
    <row r="38" spans="1:79" s="592" customFormat="1" ht="14.7" customHeight="1" x14ac:dyDescent="0.35">
      <c r="A38" s="601" t="s">
        <v>798</v>
      </c>
      <c r="B38" s="602"/>
      <c r="C38" s="602"/>
      <c r="D38" s="602"/>
      <c r="E38" s="643"/>
      <c r="F38" s="603"/>
      <c r="G38" s="603"/>
      <c r="H38" s="603"/>
      <c r="I38" s="613"/>
      <c r="J38" s="32">
        <f t="shared" si="0"/>
        <v>0</v>
      </c>
      <c r="K38" s="32">
        <f t="shared" si="1"/>
        <v>0</v>
      </c>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row>
    <row r="39" spans="1:79" s="592" customFormat="1" ht="14.7" customHeight="1" x14ac:dyDescent="0.35">
      <c r="A39" s="597" t="s">
        <v>138</v>
      </c>
      <c r="B39" s="644">
        <v>0.61160000000000003</v>
      </c>
      <c r="C39" s="603">
        <v>14.98</v>
      </c>
      <c r="D39" s="603">
        <v>14.98</v>
      </c>
      <c r="E39" s="643">
        <v>13.1494</v>
      </c>
      <c r="F39" s="603">
        <v>1.8348</v>
      </c>
      <c r="G39" s="603">
        <v>0</v>
      </c>
      <c r="H39" s="596">
        <f t="shared" ref="H39:H47" si="8">SUM(E39:F39)</f>
        <v>14.9842</v>
      </c>
      <c r="I39" s="610">
        <f t="shared" ref="I39:I50" si="9">SUM(E39:G39)</f>
        <v>14.9842</v>
      </c>
      <c r="J39" s="32">
        <f t="shared" si="0"/>
        <v>4.1999999999990933E-3</v>
      </c>
      <c r="K39" s="32">
        <f t="shared" si="1"/>
        <v>4.1999999999990933E-3</v>
      </c>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row>
    <row r="40" spans="1:79" s="592" customFormat="1" ht="14.7" customHeight="1" x14ac:dyDescent="0.35">
      <c r="A40" s="597" t="s">
        <v>141</v>
      </c>
      <c r="B40" s="644">
        <v>0.58750000000000002</v>
      </c>
      <c r="C40" s="603">
        <v>10.575000000000001</v>
      </c>
      <c r="D40" s="603">
        <v>3.06</v>
      </c>
      <c r="E40" s="643">
        <v>12.3375</v>
      </c>
      <c r="F40" s="603">
        <v>0</v>
      </c>
      <c r="G40" s="603">
        <v>0</v>
      </c>
      <c r="H40" s="596">
        <f t="shared" si="8"/>
        <v>12.3375</v>
      </c>
      <c r="I40" s="610">
        <f t="shared" si="9"/>
        <v>12.3375</v>
      </c>
      <c r="J40" s="32">
        <f t="shared" si="0"/>
        <v>1.7624999999999993</v>
      </c>
      <c r="K40" s="32">
        <f t="shared" si="1"/>
        <v>9.2774999999999999</v>
      </c>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row>
    <row r="41" spans="1:79" s="592" customFormat="1" ht="14.7" customHeight="1" x14ac:dyDescent="0.35">
      <c r="A41" s="597" t="s">
        <v>104</v>
      </c>
      <c r="B41" s="644">
        <v>0.68440000000000001</v>
      </c>
      <c r="C41" s="603">
        <v>67.413399999999996</v>
      </c>
      <c r="D41" s="603">
        <v>55.720000000000006</v>
      </c>
      <c r="E41" s="643">
        <v>68.850639999999999</v>
      </c>
      <c r="F41" s="603">
        <v>0</v>
      </c>
      <c r="G41" s="603">
        <v>7.4599600000000006</v>
      </c>
      <c r="H41" s="596">
        <f t="shared" si="8"/>
        <v>68.850639999999999</v>
      </c>
      <c r="I41" s="610">
        <f t="shared" si="9"/>
        <v>76.310599999999994</v>
      </c>
      <c r="J41" s="32">
        <f t="shared" si="0"/>
        <v>8.897199999999998</v>
      </c>
      <c r="K41" s="32">
        <f t="shared" si="1"/>
        <v>20.590599999999988</v>
      </c>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row>
    <row r="42" spans="1:79" s="592" customFormat="1" ht="14.7" customHeight="1" x14ac:dyDescent="0.35">
      <c r="A42" s="597" t="s">
        <v>799</v>
      </c>
      <c r="B42" s="644">
        <v>0.71879999999999999</v>
      </c>
      <c r="C42" s="603">
        <v>58.158107999999999</v>
      </c>
      <c r="D42" s="603">
        <v>63.202799999999996</v>
      </c>
      <c r="E42" s="643">
        <v>59.595707999999995</v>
      </c>
      <c r="F42" s="603">
        <v>0</v>
      </c>
      <c r="G42" s="603">
        <v>0</v>
      </c>
      <c r="H42" s="596">
        <f t="shared" si="8"/>
        <v>59.595707999999995</v>
      </c>
      <c r="I42" s="610">
        <f t="shared" si="9"/>
        <v>59.595707999999995</v>
      </c>
      <c r="J42" s="32">
        <f t="shared" si="0"/>
        <v>1.4375999999999962</v>
      </c>
      <c r="K42" s="32">
        <f t="shared" si="1"/>
        <v>-3.6070920000000015</v>
      </c>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row>
    <row r="43" spans="1:79" s="592" customFormat="1" ht="14.7" customHeight="1" x14ac:dyDescent="0.35">
      <c r="A43" s="597" t="s">
        <v>933</v>
      </c>
      <c r="B43" s="644">
        <v>0.54669999999999996</v>
      </c>
      <c r="C43" s="603">
        <v>167.55</v>
      </c>
      <c r="D43" s="603">
        <v>196.87</v>
      </c>
      <c r="E43" s="643">
        <v>234.34</v>
      </c>
      <c r="F43" s="603">
        <v>0</v>
      </c>
      <c r="G43" s="603">
        <v>0</v>
      </c>
      <c r="H43" s="596">
        <f t="shared" si="8"/>
        <v>234.34</v>
      </c>
      <c r="I43" s="610">
        <f t="shared" si="9"/>
        <v>234.34</v>
      </c>
      <c r="J43" s="32">
        <f t="shared" si="0"/>
        <v>66.789999999999992</v>
      </c>
      <c r="K43" s="32">
        <f t="shared" si="1"/>
        <v>37.47</v>
      </c>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row>
    <row r="44" spans="1:79" s="592" customFormat="1" ht="14.7" customHeight="1" x14ac:dyDescent="0.35">
      <c r="A44" s="597" t="s">
        <v>146</v>
      </c>
      <c r="B44" s="644">
        <v>0.67700000000000005</v>
      </c>
      <c r="C44" s="603">
        <v>196.33</v>
      </c>
      <c r="D44" s="603">
        <v>236.76966000000002</v>
      </c>
      <c r="E44" s="643">
        <v>157.74100000000001</v>
      </c>
      <c r="F44" s="603">
        <v>62.284000000000006</v>
      </c>
      <c r="G44" s="603">
        <v>0</v>
      </c>
      <c r="H44" s="596">
        <f t="shared" si="8"/>
        <v>220.02500000000003</v>
      </c>
      <c r="I44" s="610">
        <f t="shared" si="9"/>
        <v>220.02500000000003</v>
      </c>
      <c r="J44" s="32">
        <f t="shared" si="0"/>
        <v>23.695000000000022</v>
      </c>
      <c r="K44" s="32">
        <f t="shared" si="1"/>
        <v>-16.744659999999982</v>
      </c>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row>
    <row r="45" spans="1:79" s="592" customFormat="1" ht="14.7" customHeight="1" x14ac:dyDescent="0.35">
      <c r="A45" s="597" t="s">
        <v>113</v>
      </c>
      <c r="B45" s="644">
        <v>0.72299999999999998</v>
      </c>
      <c r="C45" s="603">
        <v>79.67</v>
      </c>
      <c r="D45" s="603">
        <v>69.536000000000001</v>
      </c>
      <c r="E45" s="643">
        <v>69.94735</v>
      </c>
      <c r="F45" s="603">
        <v>0</v>
      </c>
      <c r="G45" s="603">
        <v>24.01</v>
      </c>
      <c r="H45" s="596">
        <f t="shared" si="8"/>
        <v>69.94735</v>
      </c>
      <c r="I45" s="610">
        <f t="shared" si="9"/>
        <v>93.957350000000005</v>
      </c>
      <c r="J45" s="32">
        <f t="shared" si="0"/>
        <v>14.287350000000004</v>
      </c>
      <c r="K45" s="32">
        <f t="shared" si="1"/>
        <v>24.421350000000004</v>
      </c>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row>
    <row r="46" spans="1:79" s="592" customFormat="1" ht="15.45" customHeight="1" x14ac:dyDescent="0.35">
      <c r="A46" s="597" t="s">
        <v>936</v>
      </c>
      <c r="B46" s="644">
        <v>0.74809999999999999</v>
      </c>
      <c r="C46" s="603" t="s">
        <v>934</v>
      </c>
      <c r="D46" s="603" t="s">
        <v>921</v>
      </c>
      <c r="E46" s="643" t="s">
        <v>922</v>
      </c>
      <c r="F46" s="603">
        <v>0</v>
      </c>
      <c r="G46" s="603">
        <v>0</v>
      </c>
      <c r="H46" s="603" t="s">
        <v>922</v>
      </c>
      <c r="I46" s="613" t="s">
        <v>922</v>
      </c>
      <c r="J46" s="32"/>
      <c r="K46" s="32"/>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row>
    <row r="47" spans="1:79" s="592" customFormat="1" x14ac:dyDescent="0.35">
      <c r="A47" s="597" t="s">
        <v>147</v>
      </c>
      <c r="B47" s="644">
        <v>0.58479999999999999</v>
      </c>
      <c r="C47" s="603">
        <v>4.0599999999999996</v>
      </c>
      <c r="D47" s="603">
        <v>5.4</v>
      </c>
      <c r="E47" s="643">
        <v>7.0175999999999998</v>
      </c>
      <c r="F47" s="603">
        <v>0</v>
      </c>
      <c r="G47" s="603">
        <v>0</v>
      </c>
      <c r="H47" s="596">
        <f t="shared" si="8"/>
        <v>7.0175999999999998</v>
      </c>
      <c r="I47" s="610">
        <f t="shared" si="9"/>
        <v>7.0175999999999998</v>
      </c>
      <c r="J47" s="32">
        <f t="shared" si="0"/>
        <v>2.9576000000000002</v>
      </c>
      <c r="K47" s="32">
        <f t="shared" si="1"/>
        <v>1.6175999999999995</v>
      </c>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row>
    <row r="48" spans="1:79" s="592" customFormat="1" x14ac:dyDescent="0.35">
      <c r="A48" s="597" t="s">
        <v>935</v>
      </c>
      <c r="B48" s="644">
        <v>0.71989999999999998</v>
      </c>
      <c r="C48" s="603">
        <v>7.92</v>
      </c>
      <c r="D48" s="603">
        <v>13.2</v>
      </c>
      <c r="E48" s="643">
        <v>5.82</v>
      </c>
      <c r="F48" s="603">
        <v>0</v>
      </c>
      <c r="G48" s="603">
        <v>0</v>
      </c>
      <c r="H48" s="596">
        <f>SUM(E48:F48)</f>
        <v>5.82</v>
      </c>
      <c r="I48" s="610">
        <f t="shared" si="9"/>
        <v>5.82</v>
      </c>
      <c r="J48" s="32">
        <f t="shared" si="0"/>
        <v>-2.0999999999999996</v>
      </c>
      <c r="K48" s="32">
        <f t="shared" si="1"/>
        <v>-7.379999999999999</v>
      </c>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row>
    <row r="49" spans="1:79" s="592" customFormat="1" x14ac:dyDescent="0.35">
      <c r="A49" s="597" t="s">
        <v>924</v>
      </c>
      <c r="B49" s="644">
        <v>0.62580000000000002</v>
      </c>
      <c r="C49" s="603">
        <v>52.14</v>
      </c>
      <c r="D49" s="603">
        <v>51.325399999999988</v>
      </c>
      <c r="E49" s="643">
        <v>50.001420000000003</v>
      </c>
      <c r="F49" s="603">
        <v>0</v>
      </c>
      <c r="G49" s="603">
        <v>0</v>
      </c>
      <c r="H49" s="596">
        <f>SUM(E49:F49)</f>
        <v>50.001420000000003</v>
      </c>
      <c r="I49" s="610">
        <f t="shared" si="9"/>
        <v>50.001420000000003</v>
      </c>
      <c r="J49" s="32">
        <f t="shared" si="0"/>
        <v>-2.1385799999999975</v>
      </c>
      <c r="K49" s="32">
        <f t="shared" si="1"/>
        <v>-1.3239799999999846</v>
      </c>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row>
    <row r="50" spans="1:79" s="592" customFormat="1" ht="15.6" thickBot="1" x14ac:dyDescent="0.4">
      <c r="A50" s="597" t="s">
        <v>161</v>
      </c>
      <c r="B50" s="644">
        <v>0.5968</v>
      </c>
      <c r="C50" s="603">
        <v>39.99</v>
      </c>
      <c r="D50" s="603">
        <v>39.53</v>
      </c>
      <c r="E50" s="643">
        <v>40.5824</v>
      </c>
      <c r="F50" s="603">
        <v>0</v>
      </c>
      <c r="G50" s="603">
        <v>0.5968</v>
      </c>
      <c r="H50" s="596">
        <f>SUM(E50:F50)</f>
        <v>40.5824</v>
      </c>
      <c r="I50" s="610">
        <f t="shared" si="9"/>
        <v>41.179200000000002</v>
      </c>
      <c r="J50" s="32">
        <f t="shared" si="0"/>
        <v>1.1891999999999996</v>
      </c>
      <c r="K50" s="32">
        <f t="shared" si="1"/>
        <v>1.6492000000000004</v>
      </c>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row>
    <row r="51" spans="1:79" s="592" customFormat="1" ht="15.45" customHeight="1" thickBot="1" x14ac:dyDescent="0.4">
      <c r="A51" s="599" t="s">
        <v>800</v>
      </c>
      <c r="B51" s="612"/>
      <c r="C51" s="600">
        <f>SUM(C39:C50)</f>
        <v>698.78650799999991</v>
      </c>
      <c r="D51" s="600">
        <f t="shared" ref="D51:I51" si="10">SUM(D39:D50)</f>
        <v>749.59386000000006</v>
      </c>
      <c r="E51" s="618">
        <f t="shared" si="10"/>
        <v>719.38301800000011</v>
      </c>
      <c r="F51" s="600">
        <f t="shared" si="10"/>
        <v>64.118800000000007</v>
      </c>
      <c r="G51" s="600">
        <f t="shared" si="10"/>
        <v>32.066760000000002</v>
      </c>
      <c r="H51" s="600">
        <f t="shared" si="10"/>
        <v>783.50181800000018</v>
      </c>
      <c r="I51" s="627">
        <f t="shared" si="10"/>
        <v>815.56857800000023</v>
      </c>
      <c r="J51" s="32">
        <f t="shared" si="0"/>
        <v>116.78207000000032</v>
      </c>
      <c r="K51" s="32">
        <f t="shared" si="1"/>
        <v>65.974718000000166</v>
      </c>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row>
    <row r="52" spans="1:79" ht="15.45" customHeight="1" thickBot="1" x14ac:dyDescent="0.4">
      <c r="A52" s="604" t="s">
        <v>925</v>
      </c>
      <c r="B52" s="614"/>
      <c r="C52" s="605">
        <f>SUM(C34,C37,C51)</f>
        <v>1333.956508</v>
      </c>
      <c r="D52" s="605">
        <f t="shared" ref="D52:H52" si="11">SUM(D34,D37,D51)</f>
        <v>1671.3838600000001</v>
      </c>
      <c r="E52" s="619">
        <f t="shared" si="11"/>
        <v>1421.653018</v>
      </c>
      <c r="F52" s="605">
        <f t="shared" si="11"/>
        <v>129.11880000000002</v>
      </c>
      <c r="G52" s="605">
        <f t="shared" si="11"/>
        <v>72.066760000000002</v>
      </c>
      <c r="H52" s="605">
        <f t="shared" si="11"/>
        <v>1550.7718180000002</v>
      </c>
      <c r="I52" s="628">
        <f>SUM(I34,I37,I51)</f>
        <v>1622.8385780000003</v>
      </c>
      <c r="J52" s="32">
        <f t="shared" si="0"/>
        <v>288.88207000000034</v>
      </c>
      <c r="K52" s="32">
        <f t="shared" si="1"/>
        <v>-48.545281999999816</v>
      </c>
    </row>
    <row r="53" spans="1:79" ht="30.45" customHeight="1" x14ac:dyDescent="0.35">
      <c r="A53" s="871" t="s">
        <v>937</v>
      </c>
      <c r="B53" s="871"/>
      <c r="C53" s="871"/>
      <c r="D53" s="871"/>
      <c r="E53" s="871"/>
      <c r="F53" s="871"/>
      <c r="G53" s="871"/>
      <c r="H53" s="871"/>
      <c r="I53" s="871"/>
      <c r="J53" s="606"/>
      <c r="K53" s="606"/>
      <c r="L53" s="606"/>
      <c r="M53" s="606"/>
      <c r="N53" s="606"/>
      <c r="O53" s="606"/>
      <c r="P53" s="606"/>
      <c r="Q53" s="606"/>
      <c r="R53" s="606"/>
      <c r="S53" s="606"/>
      <c r="T53" s="606"/>
      <c r="U53" s="606"/>
      <c r="V53" s="606"/>
      <c r="W53" s="606"/>
    </row>
    <row r="54" spans="1:79" x14ac:dyDescent="0.35">
      <c r="E54" s="607"/>
      <c r="F54" s="607"/>
      <c r="G54" s="607"/>
      <c r="H54" s="607"/>
      <c r="I54" s="607"/>
      <c r="J54" s="606"/>
      <c r="K54" s="606"/>
      <c r="L54" s="606"/>
      <c r="M54" s="606"/>
      <c r="N54" s="606"/>
      <c r="O54" s="606"/>
      <c r="P54" s="606"/>
      <c r="Q54" s="606"/>
      <c r="R54" s="606"/>
      <c r="S54" s="606"/>
      <c r="T54" s="606"/>
      <c r="U54" s="606"/>
      <c r="V54" s="606"/>
      <c r="W54" s="606"/>
    </row>
    <row r="55" spans="1:79" x14ac:dyDescent="0.35">
      <c r="A55" s="615" t="s">
        <v>939</v>
      </c>
      <c r="B55" s="17"/>
      <c r="C55" s="17"/>
      <c r="D55" s="17"/>
      <c r="J55" s="606"/>
      <c r="K55" s="606"/>
      <c r="L55" s="606"/>
      <c r="M55" s="606"/>
      <c r="N55" s="606"/>
      <c r="O55" s="606"/>
      <c r="P55" s="606"/>
      <c r="Q55" s="606"/>
      <c r="R55" s="606"/>
      <c r="S55" s="606"/>
      <c r="T55" s="606"/>
      <c r="U55" s="606"/>
      <c r="V55" s="606"/>
      <c r="W55" s="606"/>
    </row>
    <row r="56" spans="1:79" x14ac:dyDescent="0.35">
      <c r="A56" s="616" t="s">
        <v>938</v>
      </c>
      <c r="B56" s="17"/>
      <c r="C56" s="17"/>
      <c r="D56" s="17"/>
      <c r="J56" s="606"/>
      <c r="K56" s="606"/>
      <c r="L56" s="606"/>
      <c r="M56" s="606"/>
      <c r="N56" s="606"/>
      <c r="O56" s="606"/>
      <c r="P56" s="606"/>
      <c r="Q56" s="606"/>
      <c r="R56" s="606"/>
      <c r="S56" s="606"/>
      <c r="T56" s="606"/>
      <c r="U56" s="606"/>
      <c r="V56" s="606"/>
      <c r="W56" s="606"/>
    </row>
    <row r="57" spans="1:79" x14ac:dyDescent="0.35">
      <c r="A57" s="17"/>
      <c r="B57" s="17"/>
      <c r="C57" s="17"/>
      <c r="D57" s="17"/>
      <c r="E57" s="17"/>
      <c r="F57" s="17"/>
      <c r="G57" s="17"/>
      <c r="H57" s="17"/>
      <c r="I57" s="17"/>
      <c r="J57" s="606"/>
      <c r="K57" s="606"/>
      <c r="L57" s="606"/>
      <c r="M57" s="606"/>
      <c r="N57" s="606"/>
      <c r="O57" s="606"/>
      <c r="P57" s="606"/>
      <c r="Q57" s="606"/>
      <c r="R57" s="606"/>
      <c r="S57" s="606"/>
      <c r="T57" s="606"/>
      <c r="U57" s="606"/>
      <c r="V57" s="606"/>
      <c r="W57" s="606"/>
    </row>
    <row r="58" spans="1:79" x14ac:dyDescent="0.35">
      <c r="A58" s="17"/>
      <c r="B58" s="17"/>
      <c r="C58" s="17"/>
      <c r="D58" s="17"/>
      <c r="E58" s="17"/>
      <c r="F58" s="17"/>
      <c r="G58" s="17"/>
      <c r="H58" s="17"/>
      <c r="I58" s="17"/>
      <c r="J58" s="606"/>
      <c r="K58" s="606"/>
      <c r="L58" s="606"/>
      <c r="M58" s="606"/>
      <c r="N58" s="606"/>
      <c r="O58" s="606"/>
      <c r="P58" s="606"/>
      <c r="Q58" s="606"/>
      <c r="R58" s="606"/>
      <c r="S58" s="606"/>
      <c r="T58" s="606"/>
      <c r="U58" s="606"/>
      <c r="V58" s="606"/>
      <c r="W58" s="606"/>
    </row>
    <row r="59" spans="1:79" x14ac:dyDescent="0.35">
      <c r="A59" s="17"/>
      <c r="B59" s="17"/>
      <c r="C59" s="17"/>
      <c r="D59" s="17"/>
      <c r="E59" s="17"/>
      <c r="F59" s="17"/>
      <c r="G59" s="17"/>
      <c r="H59" s="17"/>
      <c r="I59" s="17"/>
      <c r="J59" s="606"/>
      <c r="K59" s="606"/>
      <c r="L59" s="606"/>
      <c r="M59" s="606"/>
      <c r="N59" s="606"/>
      <c r="O59" s="606"/>
      <c r="P59" s="606"/>
      <c r="Q59" s="606"/>
      <c r="R59" s="606"/>
      <c r="S59" s="606"/>
      <c r="T59" s="606"/>
      <c r="U59" s="606"/>
      <c r="V59" s="606"/>
      <c r="W59" s="606"/>
    </row>
    <row r="60" spans="1:79" x14ac:dyDescent="0.35">
      <c r="J60" s="606"/>
      <c r="K60" s="606"/>
      <c r="L60" s="606"/>
      <c r="M60" s="606"/>
      <c r="N60" s="606"/>
      <c r="O60" s="606"/>
      <c r="P60" s="606"/>
      <c r="Q60" s="606"/>
      <c r="R60" s="606"/>
      <c r="S60" s="606"/>
      <c r="T60" s="606"/>
      <c r="U60" s="606"/>
      <c r="V60" s="606"/>
      <c r="W60" s="606"/>
    </row>
    <row r="61" spans="1:79" s="17" customFormat="1" x14ac:dyDescent="0.35">
      <c r="J61" s="606"/>
      <c r="K61" s="606"/>
      <c r="L61" s="606"/>
      <c r="M61" s="606"/>
      <c r="N61" s="606"/>
      <c r="O61" s="606"/>
      <c r="P61" s="606"/>
      <c r="Q61" s="606"/>
      <c r="R61" s="606"/>
      <c r="S61" s="606"/>
      <c r="T61" s="606"/>
      <c r="U61" s="606"/>
      <c r="V61" s="606"/>
      <c r="W61" s="606"/>
    </row>
    <row r="62" spans="1:79" s="17" customFormat="1" x14ac:dyDescent="0.35">
      <c r="J62" s="606"/>
      <c r="K62" s="606"/>
      <c r="L62" s="606"/>
      <c r="M62" s="606"/>
      <c r="N62" s="606"/>
      <c r="O62" s="606"/>
      <c r="P62" s="606"/>
      <c r="Q62" s="606"/>
      <c r="R62" s="606"/>
      <c r="S62" s="606"/>
      <c r="T62" s="606"/>
      <c r="U62" s="606"/>
      <c r="V62" s="606"/>
      <c r="W62" s="606"/>
    </row>
    <row r="63" spans="1:79" s="17" customFormat="1" x14ac:dyDescent="0.35">
      <c r="J63" s="606"/>
      <c r="K63" s="606"/>
      <c r="L63" s="606"/>
      <c r="M63" s="606"/>
      <c r="N63" s="606"/>
      <c r="O63" s="606"/>
      <c r="P63" s="606"/>
      <c r="Q63" s="606"/>
      <c r="R63" s="606"/>
      <c r="S63" s="606"/>
      <c r="T63" s="606"/>
      <c r="U63" s="606"/>
      <c r="V63" s="606"/>
      <c r="W63" s="606"/>
    </row>
    <row r="64" spans="1:79" s="17" customFormat="1" x14ac:dyDescent="0.35">
      <c r="J64" s="606"/>
      <c r="K64" s="606"/>
      <c r="L64" s="606"/>
      <c r="M64" s="606"/>
      <c r="N64" s="606"/>
      <c r="O64" s="606"/>
      <c r="P64" s="606"/>
      <c r="Q64" s="606"/>
      <c r="R64" s="606"/>
      <c r="S64" s="606"/>
      <c r="T64" s="606"/>
      <c r="U64" s="606"/>
      <c r="V64" s="606"/>
      <c r="W64" s="606"/>
    </row>
    <row r="65" spans="10:23" s="17" customFormat="1" x14ac:dyDescent="0.35">
      <c r="J65" s="606"/>
      <c r="K65" s="606"/>
      <c r="L65" s="606"/>
      <c r="M65" s="606"/>
      <c r="N65" s="606"/>
      <c r="O65" s="606"/>
      <c r="P65" s="606"/>
      <c r="Q65" s="606"/>
      <c r="R65" s="606"/>
      <c r="S65" s="606"/>
      <c r="T65" s="606"/>
      <c r="U65" s="606"/>
      <c r="V65" s="606"/>
      <c r="W65" s="606"/>
    </row>
    <row r="66" spans="10:23" s="17" customFormat="1" x14ac:dyDescent="0.35">
      <c r="J66" s="606"/>
      <c r="K66" s="606"/>
      <c r="L66" s="606"/>
      <c r="M66" s="606"/>
      <c r="N66" s="606"/>
      <c r="O66" s="606"/>
      <c r="P66" s="606"/>
      <c r="Q66" s="606"/>
      <c r="R66" s="606"/>
      <c r="S66" s="606"/>
      <c r="T66" s="606"/>
      <c r="U66" s="606"/>
      <c r="V66" s="606"/>
      <c r="W66" s="606"/>
    </row>
    <row r="67" spans="10:23" s="17" customFormat="1" x14ac:dyDescent="0.35">
      <c r="J67" s="606"/>
      <c r="K67" s="606"/>
      <c r="L67" s="606"/>
      <c r="M67" s="606"/>
      <c r="N67" s="606"/>
      <c r="O67" s="606"/>
      <c r="P67" s="606"/>
      <c r="Q67" s="606"/>
      <c r="R67" s="606"/>
      <c r="S67" s="606"/>
      <c r="T67" s="606"/>
      <c r="U67" s="606"/>
      <c r="V67" s="606"/>
      <c r="W67" s="606"/>
    </row>
    <row r="68" spans="10:23" s="17" customFormat="1" x14ac:dyDescent="0.35">
      <c r="J68" s="606"/>
      <c r="K68" s="606"/>
      <c r="L68" s="606"/>
      <c r="M68" s="606"/>
      <c r="N68" s="606"/>
      <c r="O68" s="606"/>
      <c r="P68" s="606"/>
      <c r="Q68" s="606"/>
      <c r="R68" s="606"/>
      <c r="S68" s="606"/>
      <c r="T68" s="606"/>
      <c r="U68" s="606"/>
      <c r="V68" s="606"/>
      <c r="W68" s="606"/>
    </row>
    <row r="69" spans="10:23" s="17" customFormat="1" x14ac:dyDescent="0.35">
      <c r="J69" s="606"/>
      <c r="K69" s="606"/>
      <c r="L69" s="606"/>
      <c r="M69" s="606"/>
      <c r="N69" s="606"/>
      <c r="O69" s="606"/>
      <c r="P69" s="606"/>
      <c r="Q69" s="606"/>
      <c r="R69" s="606"/>
      <c r="S69" s="606"/>
      <c r="T69" s="606"/>
      <c r="U69" s="606"/>
      <c r="V69" s="606"/>
      <c r="W69" s="606"/>
    </row>
    <row r="70" spans="10:23" s="17" customFormat="1" x14ac:dyDescent="0.35">
      <c r="J70" s="606"/>
      <c r="K70" s="606"/>
      <c r="L70" s="606"/>
      <c r="M70" s="606"/>
      <c r="N70" s="606"/>
      <c r="O70" s="606"/>
      <c r="P70" s="606"/>
      <c r="Q70" s="606"/>
      <c r="R70" s="606"/>
      <c r="S70" s="606"/>
      <c r="T70" s="606"/>
      <c r="U70" s="606"/>
      <c r="V70" s="606"/>
      <c r="W70" s="606"/>
    </row>
    <row r="71" spans="10:23" s="17" customFormat="1" x14ac:dyDescent="0.35">
      <c r="J71" s="606"/>
      <c r="K71" s="606"/>
      <c r="L71" s="606"/>
      <c r="M71" s="606"/>
      <c r="N71" s="606"/>
      <c r="O71" s="606"/>
      <c r="P71" s="606"/>
      <c r="Q71" s="606"/>
      <c r="R71" s="606"/>
      <c r="S71" s="606"/>
      <c r="T71" s="606"/>
      <c r="U71" s="606"/>
      <c r="V71" s="606"/>
      <c r="W71" s="606"/>
    </row>
    <row r="72" spans="10:23" s="17" customFormat="1" x14ac:dyDescent="0.35">
      <c r="J72" s="606"/>
      <c r="K72" s="606"/>
      <c r="L72" s="606"/>
      <c r="M72" s="606"/>
      <c r="N72" s="606"/>
      <c r="O72" s="606"/>
      <c r="P72" s="606"/>
      <c r="Q72" s="606"/>
      <c r="R72" s="606"/>
      <c r="S72" s="606"/>
      <c r="T72" s="606"/>
      <c r="U72" s="606"/>
      <c r="V72" s="606"/>
      <c r="W72" s="606"/>
    </row>
    <row r="73" spans="10:23" s="17" customFormat="1" x14ac:dyDescent="0.35">
      <c r="J73" s="606"/>
      <c r="K73" s="606"/>
      <c r="L73" s="606"/>
      <c r="M73" s="606"/>
      <c r="N73" s="606"/>
      <c r="O73" s="606"/>
      <c r="P73" s="606"/>
      <c r="Q73" s="606"/>
      <c r="R73" s="606"/>
      <c r="S73" s="606"/>
      <c r="T73" s="606"/>
      <c r="U73" s="606"/>
      <c r="V73" s="606"/>
      <c r="W73" s="606"/>
    </row>
    <row r="74" spans="10:23" s="17" customFormat="1" x14ac:dyDescent="0.35">
      <c r="J74" s="606"/>
      <c r="K74" s="606"/>
      <c r="L74" s="606"/>
      <c r="M74" s="606"/>
      <c r="N74" s="606"/>
      <c r="O74" s="606"/>
      <c r="P74" s="606"/>
      <c r="Q74" s="606"/>
      <c r="R74" s="606"/>
      <c r="S74" s="606"/>
      <c r="T74" s="606"/>
      <c r="U74" s="606"/>
      <c r="V74" s="606"/>
      <c r="W74" s="606"/>
    </row>
    <row r="75" spans="10:23" s="17" customFormat="1" x14ac:dyDescent="0.35">
      <c r="J75" s="606"/>
      <c r="K75" s="606"/>
      <c r="L75" s="606"/>
      <c r="M75" s="606"/>
      <c r="N75" s="606"/>
      <c r="O75" s="606"/>
      <c r="P75" s="606"/>
      <c r="Q75" s="606"/>
      <c r="R75" s="606"/>
      <c r="S75" s="606"/>
      <c r="T75" s="606"/>
      <c r="U75" s="606"/>
      <c r="V75" s="606"/>
      <c r="W75" s="606"/>
    </row>
    <row r="76" spans="10:23" s="17" customFormat="1" x14ac:dyDescent="0.35">
      <c r="J76" s="606"/>
      <c r="K76" s="606"/>
      <c r="L76" s="606"/>
      <c r="M76" s="606"/>
      <c r="N76" s="606"/>
      <c r="O76" s="606"/>
      <c r="P76" s="606"/>
      <c r="Q76" s="606"/>
      <c r="R76" s="606"/>
      <c r="S76" s="606"/>
      <c r="T76" s="606"/>
      <c r="U76" s="606"/>
      <c r="V76" s="606"/>
      <c r="W76" s="606"/>
    </row>
    <row r="77" spans="10:23" s="17" customFormat="1" x14ac:dyDescent="0.35">
      <c r="J77" s="606"/>
      <c r="K77" s="606"/>
      <c r="L77" s="606"/>
      <c r="M77" s="606"/>
      <c r="N77" s="606"/>
      <c r="O77" s="606"/>
      <c r="P77" s="606"/>
      <c r="Q77" s="606"/>
      <c r="R77" s="606"/>
      <c r="S77" s="606"/>
      <c r="T77" s="606"/>
      <c r="U77" s="606"/>
      <c r="V77" s="606"/>
      <c r="W77" s="606"/>
    </row>
    <row r="78" spans="10:23" s="17" customFormat="1" x14ac:dyDescent="0.35">
      <c r="J78" s="606"/>
      <c r="K78" s="606"/>
      <c r="L78" s="606"/>
      <c r="M78" s="606"/>
      <c r="N78" s="606"/>
      <c r="O78" s="606"/>
      <c r="P78" s="606"/>
      <c r="Q78" s="606"/>
      <c r="R78" s="606"/>
      <c r="S78" s="606"/>
      <c r="T78" s="606"/>
      <c r="U78" s="606"/>
      <c r="V78" s="606"/>
      <c r="W78" s="606"/>
    </row>
    <row r="79" spans="10:23" s="17" customFormat="1" x14ac:dyDescent="0.35">
      <c r="J79" s="606"/>
      <c r="K79" s="606"/>
      <c r="L79" s="606"/>
      <c r="M79" s="606"/>
      <c r="N79" s="606"/>
      <c r="O79" s="606"/>
      <c r="P79" s="606"/>
      <c r="Q79" s="606"/>
      <c r="R79" s="606"/>
      <c r="S79" s="606"/>
      <c r="T79" s="606"/>
      <c r="U79" s="606"/>
      <c r="V79" s="606"/>
      <c r="W79" s="606"/>
    </row>
    <row r="80" spans="10:23" s="17" customFormat="1" x14ac:dyDescent="0.35">
      <c r="J80" s="606"/>
      <c r="K80" s="606"/>
      <c r="L80" s="606"/>
      <c r="M80" s="606"/>
      <c r="N80" s="606"/>
      <c r="O80" s="606"/>
      <c r="P80" s="606"/>
      <c r="Q80" s="606"/>
      <c r="R80" s="606"/>
      <c r="S80" s="606"/>
      <c r="T80" s="606"/>
      <c r="U80" s="606"/>
      <c r="V80" s="606"/>
      <c r="W80" s="606"/>
    </row>
    <row r="81" spans="10:23" s="17" customFormat="1" x14ac:dyDescent="0.35">
      <c r="J81" s="606"/>
      <c r="K81" s="606"/>
      <c r="L81" s="606"/>
      <c r="M81" s="606"/>
      <c r="N81" s="606"/>
      <c r="O81" s="606"/>
      <c r="P81" s="606"/>
      <c r="Q81" s="606"/>
      <c r="R81" s="606"/>
      <c r="S81" s="606"/>
      <c r="T81" s="606"/>
      <c r="U81" s="606"/>
      <c r="V81" s="606"/>
      <c r="W81" s="606"/>
    </row>
    <row r="82" spans="10:23" s="17" customFormat="1" x14ac:dyDescent="0.35">
      <c r="J82" s="606"/>
      <c r="K82" s="606"/>
      <c r="L82" s="606"/>
      <c r="M82" s="606"/>
      <c r="N82" s="606"/>
      <c r="O82" s="606"/>
      <c r="P82" s="606"/>
      <c r="Q82" s="606"/>
      <c r="R82" s="606"/>
      <c r="S82" s="606"/>
      <c r="T82" s="606"/>
      <c r="U82" s="606"/>
      <c r="V82" s="606"/>
      <c r="W82" s="606"/>
    </row>
    <row r="83" spans="10:23" s="17" customFormat="1" x14ac:dyDescent="0.35">
      <c r="J83" s="606"/>
      <c r="K83" s="606"/>
      <c r="L83" s="606"/>
      <c r="M83" s="606"/>
      <c r="N83" s="606"/>
      <c r="O83" s="606"/>
      <c r="P83" s="606"/>
      <c r="Q83" s="606"/>
      <c r="R83" s="606"/>
      <c r="S83" s="606"/>
      <c r="T83" s="606"/>
      <c r="U83" s="606"/>
      <c r="V83" s="606"/>
      <c r="W83" s="606"/>
    </row>
    <row r="84" spans="10:23" s="17" customFormat="1" x14ac:dyDescent="0.35">
      <c r="J84" s="606"/>
      <c r="K84" s="606"/>
      <c r="L84" s="606"/>
      <c r="M84" s="606"/>
      <c r="N84" s="606"/>
      <c r="O84" s="606"/>
      <c r="P84" s="606"/>
      <c r="Q84" s="606"/>
      <c r="R84" s="606"/>
      <c r="S84" s="606"/>
      <c r="T84" s="606"/>
      <c r="U84" s="606"/>
      <c r="V84" s="606"/>
      <c r="W84" s="606"/>
    </row>
    <row r="85" spans="10:23" s="17" customFormat="1" x14ac:dyDescent="0.35">
      <c r="J85" s="606"/>
      <c r="K85" s="606"/>
      <c r="L85" s="606"/>
      <c r="M85" s="606"/>
      <c r="N85" s="606"/>
      <c r="O85" s="606"/>
      <c r="P85" s="606"/>
      <c r="Q85" s="606"/>
      <c r="R85" s="606"/>
      <c r="S85" s="606"/>
      <c r="T85" s="606"/>
      <c r="U85" s="606"/>
      <c r="V85" s="606"/>
      <c r="W85" s="606"/>
    </row>
    <row r="86" spans="10:23" s="17" customFormat="1" x14ac:dyDescent="0.35">
      <c r="J86" s="606"/>
      <c r="K86" s="606"/>
      <c r="L86" s="606"/>
      <c r="M86" s="606"/>
      <c r="N86" s="606"/>
      <c r="O86" s="606"/>
      <c r="P86" s="606"/>
      <c r="Q86" s="606"/>
      <c r="R86" s="606"/>
      <c r="S86" s="606"/>
      <c r="T86" s="606"/>
      <c r="U86" s="606"/>
      <c r="V86" s="606"/>
      <c r="W86" s="606"/>
    </row>
    <row r="87" spans="10:23" s="17" customFormat="1" x14ac:dyDescent="0.35">
      <c r="J87" s="606"/>
      <c r="K87" s="606"/>
      <c r="L87" s="606"/>
      <c r="M87" s="606"/>
      <c r="N87" s="606"/>
      <c r="O87" s="606"/>
      <c r="P87" s="606"/>
      <c r="Q87" s="606"/>
      <c r="R87" s="606"/>
      <c r="S87" s="606"/>
      <c r="T87" s="606"/>
      <c r="U87" s="606"/>
      <c r="V87" s="606"/>
      <c r="W87" s="606"/>
    </row>
    <row r="88" spans="10:23" s="17" customFormat="1" x14ac:dyDescent="0.35">
      <c r="J88" s="606"/>
      <c r="K88" s="606"/>
      <c r="L88" s="606"/>
      <c r="M88" s="606"/>
      <c r="N88" s="606"/>
      <c r="O88" s="606"/>
      <c r="P88" s="606"/>
      <c r="Q88" s="606"/>
      <c r="R88" s="606"/>
      <c r="S88" s="606"/>
      <c r="T88" s="606"/>
      <c r="U88" s="606"/>
      <c r="V88" s="606"/>
      <c r="W88" s="606"/>
    </row>
    <row r="89" spans="10:23" s="17" customFormat="1" x14ac:dyDescent="0.35">
      <c r="J89" s="606"/>
      <c r="K89" s="606"/>
      <c r="L89" s="606"/>
      <c r="M89" s="606"/>
      <c r="N89" s="606"/>
      <c r="O89" s="606"/>
      <c r="P89" s="606"/>
      <c r="Q89" s="606"/>
      <c r="R89" s="606"/>
      <c r="S89" s="606"/>
      <c r="T89" s="606"/>
      <c r="U89" s="606"/>
      <c r="V89" s="606"/>
      <c r="W89" s="606"/>
    </row>
    <row r="90" spans="10:23" s="17" customFormat="1" x14ac:dyDescent="0.35">
      <c r="J90" s="606"/>
      <c r="K90" s="606"/>
      <c r="L90" s="606"/>
      <c r="M90" s="606"/>
      <c r="N90" s="606"/>
      <c r="O90" s="606"/>
      <c r="P90" s="606"/>
      <c r="Q90" s="606"/>
      <c r="R90" s="606"/>
      <c r="S90" s="606"/>
      <c r="T90" s="606"/>
      <c r="U90" s="606"/>
      <c r="V90" s="606"/>
      <c r="W90" s="606"/>
    </row>
    <row r="91" spans="10:23" s="17" customFormat="1" x14ac:dyDescent="0.35">
      <c r="J91" s="606"/>
      <c r="K91" s="606"/>
      <c r="L91" s="606"/>
      <c r="M91" s="606"/>
      <c r="N91" s="606"/>
      <c r="O91" s="606"/>
      <c r="P91" s="606"/>
      <c r="Q91" s="606"/>
      <c r="R91" s="606"/>
      <c r="S91" s="606"/>
      <c r="T91" s="606"/>
      <c r="U91" s="606"/>
      <c r="V91" s="606"/>
      <c r="W91" s="606"/>
    </row>
  </sheetData>
  <mergeCells count="14">
    <mergeCell ref="J4:J5"/>
    <mergeCell ref="K4:K5"/>
    <mergeCell ref="I4:I5"/>
    <mergeCell ref="A53:I53"/>
    <mergeCell ref="A1:I1"/>
    <mergeCell ref="A2:I2"/>
    <mergeCell ref="A3:I3"/>
    <mergeCell ref="A4:A5"/>
    <mergeCell ref="C4:C5"/>
    <mergeCell ref="D4:D5"/>
    <mergeCell ref="E4:E5"/>
    <mergeCell ref="F4:F5"/>
    <mergeCell ref="G4:G5"/>
    <mergeCell ref="H4:H5"/>
  </mergeCells>
  <pageMargins left="0.7" right="0.7" top="0.75" bottom="0.75" header="0.3" footer="0.3"/>
  <pageSetup orientation="portrait" horizontalDpi="1200" verticalDpi="1200" r:id="rId1"/>
  <headerFooter differentFirst="1">
    <oddHeader>&amp;C&amp;"Microsoft Sans Serif,Bold"CUI//SP-BUDG</oddHeader>
    <oddFooter>&amp;L  </oddFooter>
    <firstHeader>&amp;C&amp;"Microsoft Sans Serif,Bold"CUI//SP-BUDG</firstHeader>
    <firstFooter>&amp;LCUI Contact: cui@nsf.gov</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EB031-3494-4BEB-A1D8-826FFF493803}">
  <sheetPr>
    <tabColor theme="7" tint="0.79998168889431442"/>
  </sheetPr>
  <dimension ref="A1:S101"/>
  <sheetViews>
    <sheetView showGridLines="0" workbookViewId="0">
      <selection activeCell="T25" sqref="T25"/>
    </sheetView>
  </sheetViews>
  <sheetFormatPr defaultColWidth="9.33203125" defaultRowHeight="13.8" x14ac:dyDescent="0.25"/>
  <cols>
    <col min="1" max="1" width="11.44140625" style="412" customWidth="1"/>
    <col min="2" max="5" width="9.33203125" style="412"/>
    <col min="6" max="7" width="10.33203125" style="412" customWidth="1"/>
    <col min="8" max="8" width="12.33203125" style="412" customWidth="1"/>
    <col min="9" max="10" width="11" style="412" customWidth="1"/>
    <col min="11" max="11" width="10.6640625" style="412" customWidth="1"/>
    <col min="12" max="13" width="10.33203125" style="412" customWidth="1"/>
    <col min="14" max="14" width="1.5546875" style="412" bestFit="1" customWidth="1"/>
    <col min="15" max="16" width="10.33203125" style="412" customWidth="1"/>
    <col min="17" max="18" width="12.6640625" style="412" customWidth="1"/>
    <col min="19" max="16384" width="9.33203125" style="412"/>
  </cols>
  <sheetData>
    <row r="1" spans="1:18" ht="15" x14ac:dyDescent="0.35">
      <c r="A1" s="887" t="s">
        <v>516</v>
      </c>
      <c r="B1" s="887"/>
      <c r="C1" s="887"/>
      <c r="D1" s="887"/>
      <c r="E1" s="887"/>
      <c r="F1" s="887"/>
      <c r="G1" s="887"/>
      <c r="H1" s="887"/>
      <c r="I1" s="887"/>
      <c r="J1" s="887"/>
      <c r="K1" s="887"/>
      <c r="L1" s="887"/>
      <c r="M1" s="887"/>
      <c r="N1" s="411"/>
      <c r="O1" s="411"/>
      <c r="P1" s="411"/>
      <c r="Q1" s="411"/>
      <c r="R1" s="411"/>
    </row>
    <row r="2" spans="1:18" ht="15" x14ac:dyDescent="0.35">
      <c r="A2" s="887" t="s">
        <v>517</v>
      </c>
      <c r="B2" s="887"/>
      <c r="C2" s="887"/>
      <c r="D2" s="887"/>
      <c r="E2" s="887"/>
      <c r="F2" s="887"/>
      <c r="G2" s="887"/>
      <c r="H2" s="887"/>
      <c r="I2" s="887"/>
      <c r="J2" s="887"/>
      <c r="K2" s="887"/>
      <c r="L2" s="887"/>
      <c r="M2" s="887"/>
      <c r="N2" s="411"/>
      <c r="O2" s="411"/>
      <c r="P2" s="411"/>
      <c r="Q2" s="411"/>
      <c r="R2" s="411"/>
    </row>
    <row r="3" spans="1:18" ht="16.350000000000001" customHeight="1" x14ac:dyDescent="0.35">
      <c r="A3" s="887" t="s">
        <v>759</v>
      </c>
      <c r="B3" s="887"/>
      <c r="C3" s="887"/>
      <c r="D3" s="887"/>
      <c r="E3" s="887"/>
      <c r="F3" s="887"/>
      <c r="G3" s="887"/>
      <c r="H3" s="887"/>
      <c r="I3" s="887"/>
      <c r="J3" s="887"/>
      <c r="K3" s="887"/>
      <c r="L3" s="887"/>
      <c r="M3" s="887"/>
      <c r="N3" s="411"/>
      <c r="O3" s="411"/>
      <c r="P3" s="411"/>
      <c r="Q3" s="411"/>
      <c r="R3" s="411"/>
    </row>
    <row r="4" spans="1:18" ht="15.6" thickBot="1" x14ac:dyDescent="0.4">
      <c r="A4" s="888" t="s">
        <v>369</v>
      </c>
      <c r="B4" s="888"/>
      <c r="C4" s="888"/>
      <c r="D4" s="888"/>
      <c r="E4" s="888"/>
      <c r="F4" s="888"/>
      <c r="G4" s="888"/>
      <c r="H4" s="888"/>
      <c r="I4" s="888"/>
      <c r="J4" s="888"/>
      <c r="K4" s="888"/>
      <c r="L4" s="888"/>
      <c r="M4" s="888"/>
      <c r="N4" s="413" t="s">
        <v>560</v>
      </c>
    </row>
    <row r="5" spans="1:18" ht="39" customHeight="1" thickTop="1" x14ac:dyDescent="0.35">
      <c r="A5" s="414"/>
      <c r="B5" s="889" t="s">
        <v>520</v>
      </c>
      <c r="C5" s="889"/>
      <c r="D5" s="889"/>
      <c r="E5" s="889"/>
      <c r="F5" s="889"/>
      <c r="G5" s="889"/>
      <c r="H5" s="889" t="s">
        <v>521</v>
      </c>
      <c r="I5" s="889"/>
      <c r="J5" s="889"/>
      <c r="K5" s="889"/>
      <c r="L5" s="889"/>
      <c r="M5" s="889"/>
    </row>
    <row r="6" spans="1:18" ht="47.7" customHeight="1" x14ac:dyDescent="0.35">
      <c r="A6" s="415"/>
      <c r="B6" s="895" t="s">
        <v>760</v>
      </c>
      <c r="C6" s="890" t="s">
        <v>761</v>
      </c>
      <c r="D6" s="890" t="s">
        <v>762</v>
      </c>
      <c r="E6" s="890" t="s">
        <v>26</v>
      </c>
      <c r="F6" s="892" t="s">
        <v>763</v>
      </c>
      <c r="G6" s="893"/>
      <c r="H6" s="895" t="s">
        <v>760</v>
      </c>
      <c r="I6" s="890" t="s">
        <v>761</v>
      </c>
      <c r="J6" s="890" t="s">
        <v>762</v>
      </c>
      <c r="K6" s="890" t="s">
        <v>26</v>
      </c>
      <c r="L6" s="892" t="s">
        <v>763</v>
      </c>
      <c r="M6" s="893"/>
    </row>
    <row r="7" spans="1:18" ht="16.350000000000001" customHeight="1" x14ac:dyDescent="0.35">
      <c r="A7" s="416"/>
      <c r="B7" s="896"/>
      <c r="C7" s="891"/>
      <c r="D7" s="891"/>
      <c r="E7" s="891"/>
      <c r="F7" s="417" t="s">
        <v>377</v>
      </c>
      <c r="G7" s="418" t="s">
        <v>378</v>
      </c>
      <c r="H7" s="896"/>
      <c r="I7" s="891"/>
      <c r="J7" s="891"/>
      <c r="K7" s="891"/>
      <c r="L7" s="417" t="s">
        <v>377</v>
      </c>
      <c r="M7" s="418" t="s">
        <v>378</v>
      </c>
    </row>
    <row r="8" spans="1:18" ht="15" x14ac:dyDescent="0.25">
      <c r="A8" s="419" t="s">
        <v>0</v>
      </c>
      <c r="B8" s="420">
        <v>45</v>
      </c>
      <c r="C8" s="421">
        <v>50</v>
      </c>
      <c r="D8" s="421">
        <v>50</v>
      </c>
      <c r="E8" s="421">
        <v>59.28</v>
      </c>
      <c r="F8" s="422">
        <f>E8-C8</f>
        <v>9.2800000000000011</v>
      </c>
      <c r="G8" s="423">
        <f>IF(C8=0,"N/A",F8/C8)</f>
        <v>0.18560000000000001</v>
      </c>
      <c r="H8" s="420">
        <v>155</v>
      </c>
      <c r="I8" s="421">
        <v>163</v>
      </c>
      <c r="J8" s="421">
        <v>162.01</v>
      </c>
      <c r="K8" s="421">
        <v>237.15</v>
      </c>
      <c r="L8" s="422">
        <f>K8-I8</f>
        <v>74.150000000000006</v>
      </c>
      <c r="M8" s="423">
        <f>IF(I8=0,"N/A",L8/I8)</f>
        <v>0.45490797546012274</v>
      </c>
    </row>
    <row r="9" spans="1:18" ht="15" x14ac:dyDescent="0.25">
      <c r="A9" s="419" t="s">
        <v>1</v>
      </c>
      <c r="B9" s="424">
        <v>24.22</v>
      </c>
      <c r="C9" s="425">
        <v>29.22</v>
      </c>
      <c r="D9" s="425">
        <v>29.280999999999999</v>
      </c>
      <c r="E9" s="425">
        <v>31.12</v>
      </c>
      <c r="F9" s="422">
        <f t="shared" ref="F9:F20" si="0">E9-C9</f>
        <v>1.9000000000000021</v>
      </c>
      <c r="G9" s="423">
        <f t="shared" ref="G9:G20" si="1">IF(C9=0,"N/A",F9/C9)</f>
        <v>6.5023956194387486E-2</v>
      </c>
      <c r="H9" s="424">
        <v>0</v>
      </c>
      <c r="I9" s="425">
        <v>0</v>
      </c>
      <c r="J9" s="425">
        <v>0</v>
      </c>
      <c r="K9" s="425">
        <v>40</v>
      </c>
      <c r="L9" s="422">
        <f t="shared" ref="L9:L20" si="2">K9-I9</f>
        <v>40</v>
      </c>
      <c r="M9" s="423" t="str">
        <f t="shared" ref="M9:M20" si="3">IF(I9=0,"N/A",L9/I9)</f>
        <v>N/A</v>
      </c>
    </row>
    <row r="10" spans="1:18" ht="15" x14ac:dyDescent="0.25">
      <c r="A10" s="419" t="s">
        <v>2</v>
      </c>
      <c r="B10" s="424">
        <v>143.38</v>
      </c>
      <c r="C10" s="425">
        <v>148</v>
      </c>
      <c r="D10" s="425">
        <v>150</v>
      </c>
      <c r="E10" s="425">
        <v>223.57</v>
      </c>
      <c r="F10" s="422">
        <f t="shared" si="0"/>
        <v>75.569999999999993</v>
      </c>
      <c r="G10" s="423">
        <f t="shared" si="1"/>
        <v>0.51060810810810808</v>
      </c>
      <c r="H10" s="424">
        <v>0</v>
      </c>
      <c r="I10" s="425">
        <v>0</v>
      </c>
      <c r="J10" s="425">
        <v>0</v>
      </c>
      <c r="K10" s="425">
        <v>0</v>
      </c>
      <c r="L10" s="422">
        <f>K10-I10</f>
        <v>0</v>
      </c>
      <c r="M10" s="423" t="str">
        <f t="shared" si="3"/>
        <v>N/A</v>
      </c>
    </row>
    <row r="11" spans="1:18" ht="15" x14ac:dyDescent="0.25">
      <c r="A11" s="419" t="s">
        <v>3</v>
      </c>
      <c r="B11" s="424">
        <v>0</v>
      </c>
      <c r="C11" s="425">
        <v>0</v>
      </c>
      <c r="D11" s="425">
        <v>0</v>
      </c>
      <c r="E11" s="425">
        <v>0</v>
      </c>
      <c r="F11" s="422">
        <f t="shared" si="0"/>
        <v>0</v>
      </c>
      <c r="G11" s="423" t="str">
        <f t="shared" si="1"/>
        <v>N/A</v>
      </c>
      <c r="H11" s="424">
        <v>329</v>
      </c>
      <c r="I11" s="458">
        <v>337.6</v>
      </c>
      <c r="J11" s="425">
        <v>337.6</v>
      </c>
      <c r="K11" s="458">
        <v>515.37</v>
      </c>
      <c r="L11" s="422">
        <f>K11-I11</f>
        <v>177.76999999999998</v>
      </c>
      <c r="M11" s="423">
        <f t="shared" si="3"/>
        <v>0.52656990521327007</v>
      </c>
    </row>
    <row r="12" spans="1:18" ht="15" x14ac:dyDescent="0.25">
      <c r="A12" s="419" t="s">
        <v>7</v>
      </c>
      <c r="B12" s="424">
        <v>132.07</v>
      </c>
      <c r="C12" s="458">
        <v>106.83</v>
      </c>
      <c r="D12" s="458">
        <v>123.08</v>
      </c>
      <c r="E12" s="425">
        <v>128.56</v>
      </c>
      <c r="F12" s="422">
        <f t="shared" si="0"/>
        <v>21.730000000000004</v>
      </c>
      <c r="G12" s="423">
        <f t="shared" si="1"/>
        <v>0.20340728259852106</v>
      </c>
      <c r="H12" s="424">
        <v>9.83</v>
      </c>
      <c r="I12" s="425">
        <v>12</v>
      </c>
      <c r="J12" s="425">
        <v>13.44</v>
      </c>
      <c r="K12" s="425">
        <v>34.630000000000003</v>
      </c>
      <c r="L12" s="422">
        <f t="shared" si="2"/>
        <v>22.630000000000003</v>
      </c>
      <c r="M12" s="423">
        <f t="shared" si="3"/>
        <v>1.8858333333333335</v>
      </c>
    </row>
    <row r="13" spans="1:18" ht="15" x14ac:dyDescent="0.25">
      <c r="A13" s="419" t="s">
        <v>8</v>
      </c>
      <c r="B13" s="424">
        <v>0</v>
      </c>
      <c r="C13" s="425">
        <v>0</v>
      </c>
      <c r="D13" s="425">
        <v>0</v>
      </c>
      <c r="E13" s="425">
        <v>0</v>
      </c>
      <c r="F13" s="422">
        <f t="shared" si="0"/>
        <v>0</v>
      </c>
      <c r="G13" s="423" t="str">
        <f t="shared" si="1"/>
        <v>N/A</v>
      </c>
      <c r="H13" s="424">
        <v>18.25</v>
      </c>
      <c r="I13" s="425">
        <v>19.25</v>
      </c>
      <c r="J13" s="425">
        <v>19.920000000000002</v>
      </c>
      <c r="K13" s="425">
        <v>25.14</v>
      </c>
      <c r="L13" s="422">
        <f t="shared" si="2"/>
        <v>5.8900000000000006</v>
      </c>
      <c r="M13" s="423">
        <f t="shared" si="3"/>
        <v>0.30597402597402601</v>
      </c>
    </row>
    <row r="14" spans="1:18" ht="16.2" x14ac:dyDescent="0.25">
      <c r="A14" s="419" t="s">
        <v>764</v>
      </c>
      <c r="B14" s="424">
        <v>37.21</v>
      </c>
      <c r="C14" s="425">
        <v>45</v>
      </c>
      <c r="D14" s="425">
        <v>49.2</v>
      </c>
      <c r="E14" s="425">
        <v>52.47</v>
      </c>
      <c r="F14" s="422">
        <f t="shared" si="0"/>
        <v>7.4699999999999989</v>
      </c>
      <c r="G14" s="423">
        <f t="shared" si="1"/>
        <v>0.16599999999999998</v>
      </c>
      <c r="H14" s="424">
        <v>0</v>
      </c>
      <c r="I14" s="425">
        <v>0</v>
      </c>
      <c r="J14" s="425">
        <v>0</v>
      </c>
      <c r="K14" s="425">
        <v>0</v>
      </c>
      <c r="L14" s="422">
        <f t="shared" si="2"/>
        <v>0</v>
      </c>
      <c r="M14" s="423" t="str">
        <f t="shared" si="3"/>
        <v>N/A</v>
      </c>
    </row>
    <row r="15" spans="1:18" ht="15" x14ac:dyDescent="0.25">
      <c r="A15" s="419" t="s">
        <v>12</v>
      </c>
      <c r="B15" s="424">
        <v>0.01</v>
      </c>
      <c r="C15" s="425">
        <v>5</v>
      </c>
      <c r="D15" s="425">
        <v>17.048999999999999</v>
      </c>
      <c r="E15" s="425">
        <v>5</v>
      </c>
      <c r="F15" s="422">
        <f t="shared" si="0"/>
        <v>0</v>
      </c>
      <c r="G15" s="423">
        <f t="shared" si="1"/>
        <v>0</v>
      </c>
      <c r="H15" s="424">
        <v>0</v>
      </c>
      <c r="I15" s="425">
        <v>5</v>
      </c>
      <c r="J15" s="425">
        <v>11.993</v>
      </c>
      <c r="K15" s="425">
        <v>5</v>
      </c>
      <c r="L15" s="422">
        <f t="shared" si="2"/>
        <v>0</v>
      </c>
      <c r="M15" s="423">
        <f t="shared" si="3"/>
        <v>0</v>
      </c>
    </row>
    <row r="16" spans="1:18" ht="15" x14ac:dyDescent="0.25">
      <c r="A16" s="419" t="s">
        <v>525</v>
      </c>
      <c r="B16" s="424">
        <v>0</v>
      </c>
      <c r="C16" s="425">
        <v>0</v>
      </c>
      <c r="D16" s="425"/>
      <c r="E16" s="425">
        <v>0</v>
      </c>
      <c r="F16" s="422">
        <f t="shared" si="0"/>
        <v>0</v>
      </c>
      <c r="G16" s="423" t="str">
        <f t="shared" si="1"/>
        <v>N/A</v>
      </c>
      <c r="H16" s="424">
        <v>56.11</v>
      </c>
      <c r="I16" s="425">
        <v>200.33</v>
      </c>
      <c r="J16" s="425">
        <v>236</v>
      </c>
      <c r="K16" s="425">
        <v>197.26</v>
      </c>
      <c r="L16" s="422">
        <f t="shared" si="2"/>
        <v>-3.0700000000000216</v>
      </c>
      <c r="M16" s="423">
        <f t="shared" si="3"/>
        <v>-1.5324714221534575E-2</v>
      </c>
    </row>
    <row r="17" spans="1:19" ht="15" x14ac:dyDescent="0.25">
      <c r="A17" s="426" t="s">
        <v>13</v>
      </c>
      <c r="B17" s="427">
        <v>0</v>
      </c>
      <c r="C17" s="428">
        <v>0</v>
      </c>
      <c r="D17" s="428">
        <v>0.14000000000000001</v>
      </c>
      <c r="E17" s="428">
        <v>0</v>
      </c>
      <c r="F17" s="429">
        <f t="shared" si="0"/>
        <v>0</v>
      </c>
      <c r="G17" s="423" t="str">
        <f t="shared" si="1"/>
        <v>N/A</v>
      </c>
      <c r="H17" s="427">
        <v>0</v>
      </c>
      <c r="I17" s="428">
        <v>0</v>
      </c>
      <c r="J17" s="428">
        <v>0</v>
      </c>
      <c r="K17" s="428">
        <v>0</v>
      </c>
      <c r="L17" s="429">
        <f t="shared" si="2"/>
        <v>0</v>
      </c>
      <c r="M17" s="423" t="str">
        <f t="shared" si="3"/>
        <v>N/A</v>
      </c>
    </row>
    <row r="18" spans="1:19" ht="15" x14ac:dyDescent="0.25">
      <c r="A18" s="430" t="s">
        <v>527</v>
      </c>
      <c r="B18" s="431">
        <f>SUM(B8:B17)</f>
        <v>381.88999999999993</v>
      </c>
      <c r="C18" s="432">
        <f>SUM(C8:C17)</f>
        <v>384.05</v>
      </c>
      <c r="D18" s="433">
        <f>SUM(D8:D17)</f>
        <v>418.74999999999994</v>
      </c>
      <c r="E18" s="432">
        <f>SUM(E8:E17)</f>
        <v>500</v>
      </c>
      <c r="F18" s="448">
        <f t="shared" si="0"/>
        <v>115.94999999999999</v>
      </c>
      <c r="G18" s="434">
        <f t="shared" si="1"/>
        <v>0.30191381330555911</v>
      </c>
      <c r="H18" s="431">
        <f>SUM(H8:H17)</f>
        <v>568.18999999999994</v>
      </c>
      <c r="I18" s="432">
        <f>SUM(I8:I17)</f>
        <v>737.18000000000006</v>
      </c>
      <c r="J18" s="433">
        <f>SUM(J8:J17)</f>
        <v>780.96300000000008</v>
      </c>
      <c r="K18" s="432">
        <f>SUM(K8:K17)</f>
        <v>1054.55</v>
      </c>
      <c r="L18" s="448">
        <f t="shared" si="2"/>
        <v>317.36999999999989</v>
      </c>
      <c r="M18" s="434">
        <f t="shared" si="3"/>
        <v>0.43051900485634426</v>
      </c>
      <c r="P18" s="468">
        <f>C18+I18</f>
        <v>1121.23</v>
      </c>
      <c r="Q18" s="468" t="s">
        <v>560</v>
      </c>
      <c r="R18" s="412" t="s">
        <v>560</v>
      </c>
    </row>
    <row r="19" spans="1:19" ht="15" x14ac:dyDescent="0.25">
      <c r="A19" s="435" t="s">
        <v>30</v>
      </c>
      <c r="B19" s="436">
        <v>0</v>
      </c>
      <c r="C19" s="437">
        <v>0</v>
      </c>
      <c r="D19" s="437">
        <v>0</v>
      </c>
      <c r="E19" s="437">
        <v>0</v>
      </c>
      <c r="F19" s="438">
        <f t="shared" si="0"/>
        <v>0</v>
      </c>
      <c r="G19" s="439" t="str">
        <f t="shared" si="1"/>
        <v>N/A</v>
      </c>
      <c r="H19" s="436">
        <v>0</v>
      </c>
      <c r="I19" s="437">
        <v>0</v>
      </c>
      <c r="J19" s="437">
        <v>0</v>
      </c>
      <c r="K19" s="437">
        <v>0</v>
      </c>
      <c r="L19" s="438">
        <f t="shared" si="2"/>
        <v>0</v>
      </c>
      <c r="M19" s="439" t="str">
        <f t="shared" si="3"/>
        <v>N/A</v>
      </c>
      <c r="P19" s="468">
        <f>P18-970</f>
        <v>151.23000000000002</v>
      </c>
      <c r="Q19" s="468" t="s">
        <v>560</v>
      </c>
    </row>
    <row r="20" spans="1:19" ht="15.6" thickBot="1" x14ac:dyDescent="0.3">
      <c r="A20" s="440" t="s">
        <v>528</v>
      </c>
      <c r="B20" s="441">
        <f>SUM(B18:B19)</f>
        <v>381.88999999999993</v>
      </c>
      <c r="C20" s="442">
        <f>SUM(C18:C19)</f>
        <v>384.05</v>
      </c>
      <c r="D20" s="442">
        <f>SUM(D18:D19)</f>
        <v>418.74999999999994</v>
      </c>
      <c r="E20" s="442">
        <f>SUM(E18:E19)</f>
        <v>500</v>
      </c>
      <c r="F20" s="443">
        <f t="shared" si="0"/>
        <v>115.94999999999999</v>
      </c>
      <c r="G20" s="444">
        <f t="shared" si="1"/>
        <v>0.30191381330555911</v>
      </c>
      <c r="H20" s="441">
        <f>SUM(H18:H19)</f>
        <v>568.18999999999994</v>
      </c>
      <c r="I20" s="442">
        <f>SUM(I18:I19)</f>
        <v>737.18000000000006</v>
      </c>
      <c r="J20" s="442">
        <f>SUM(J18:J19)</f>
        <v>780.96300000000008</v>
      </c>
      <c r="K20" s="442">
        <f>SUM(K18:K19)</f>
        <v>1054.55</v>
      </c>
      <c r="L20" s="443">
        <f t="shared" si="2"/>
        <v>317.36999999999989</v>
      </c>
      <c r="M20" s="444">
        <f t="shared" si="3"/>
        <v>0.43051900485634426</v>
      </c>
    </row>
    <row r="21" spans="1:19" ht="16.350000000000001" customHeight="1" thickTop="1" thickBot="1" x14ac:dyDescent="0.35">
      <c r="A21" s="894" t="s">
        <v>765</v>
      </c>
      <c r="B21" s="894"/>
      <c r="C21" s="894"/>
      <c r="D21" s="894"/>
      <c r="E21" s="894"/>
      <c r="F21" s="894"/>
      <c r="G21" s="894"/>
      <c r="H21" s="894"/>
      <c r="I21" s="894"/>
      <c r="J21" s="894"/>
      <c r="K21" s="894"/>
      <c r="L21" s="894"/>
      <c r="M21" s="894"/>
    </row>
    <row r="22" spans="1:19" s="452" customFormat="1" ht="16.350000000000001" customHeight="1" thickBot="1" x14ac:dyDescent="0.35">
      <c r="A22" s="460" t="s">
        <v>766</v>
      </c>
      <c r="B22" s="462"/>
      <c r="C22" s="462"/>
      <c r="D22" s="462"/>
      <c r="E22" s="897" t="s">
        <v>772</v>
      </c>
      <c r="F22" s="897"/>
      <c r="G22" s="897"/>
      <c r="H22" s="897"/>
      <c r="I22" s="897"/>
      <c r="J22" s="450"/>
      <c r="K22" s="450"/>
      <c r="L22" s="449"/>
      <c r="M22" s="451"/>
    </row>
    <row r="23" spans="1:19" ht="14.4" x14ac:dyDescent="0.3">
      <c r="A23" s="445"/>
      <c r="B23" s="445"/>
      <c r="C23" s="445"/>
      <c r="D23" s="445"/>
      <c r="E23" s="445"/>
      <c r="F23" s="445"/>
      <c r="G23" s="445"/>
      <c r="H23" s="445"/>
      <c r="I23" s="445"/>
      <c r="J23" s="445"/>
      <c r="K23" s="445"/>
      <c r="L23" s="445"/>
      <c r="M23" s="445"/>
    </row>
    <row r="24" spans="1:19" ht="16.350000000000001" customHeight="1" thickBot="1" x14ac:dyDescent="0.4">
      <c r="A24" s="888" t="s">
        <v>369</v>
      </c>
      <c r="B24" s="888"/>
      <c r="C24" s="888"/>
      <c r="D24" s="888"/>
      <c r="E24" s="888"/>
      <c r="F24" s="888"/>
      <c r="G24" s="888"/>
      <c r="H24" s="888"/>
      <c r="I24" s="888"/>
      <c r="J24" s="888"/>
      <c r="K24" s="888"/>
      <c r="L24" s="888"/>
      <c r="M24" s="888"/>
    </row>
    <row r="25" spans="1:19" ht="39" customHeight="1" thickTop="1" x14ac:dyDescent="0.35">
      <c r="A25" s="414"/>
      <c r="B25" s="889" t="s">
        <v>529</v>
      </c>
      <c r="C25" s="889"/>
      <c r="D25" s="889"/>
      <c r="E25" s="889"/>
      <c r="F25" s="889"/>
      <c r="G25" s="889"/>
      <c r="H25" s="889" t="s">
        <v>228</v>
      </c>
      <c r="I25" s="889"/>
      <c r="J25" s="889"/>
      <c r="K25" s="889"/>
      <c r="L25" s="889"/>
      <c r="M25" s="889"/>
    </row>
    <row r="26" spans="1:19" ht="30" customHeight="1" x14ac:dyDescent="0.35">
      <c r="A26" s="415"/>
      <c r="B26" s="895" t="s">
        <v>760</v>
      </c>
      <c r="C26" s="890" t="s">
        <v>761</v>
      </c>
      <c r="D26" s="890" t="s">
        <v>762</v>
      </c>
      <c r="E26" s="890" t="s">
        <v>26</v>
      </c>
      <c r="F26" s="892" t="s">
        <v>763</v>
      </c>
      <c r="G26" s="893"/>
      <c r="H26" s="895" t="s">
        <v>760</v>
      </c>
      <c r="I26" s="890" t="s">
        <v>761</v>
      </c>
      <c r="J26" s="890" t="s">
        <v>762</v>
      </c>
      <c r="K26" s="890" t="s">
        <v>26</v>
      </c>
      <c r="L26" s="892" t="s">
        <v>763</v>
      </c>
      <c r="M26" s="893"/>
      <c r="S26" s="446"/>
    </row>
    <row r="27" spans="1:19" s="447" customFormat="1" ht="16.350000000000001" customHeight="1" x14ac:dyDescent="0.35">
      <c r="A27" s="416"/>
      <c r="B27" s="896"/>
      <c r="C27" s="891"/>
      <c r="D27" s="891"/>
      <c r="E27" s="891"/>
      <c r="F27" s="417" t="s">
        <v>377</v>
      </c>
      <c r="G27" s="418" t="s">
        <v>378</v>
      </c>
      <c r="H27" s="896"/>
      <c r="I27" s="891"/>
      <c r="J27" s="891"/>
      <c r="K27" s="891"/>
      <c r="L27" s="417" t="s">
        <v>377</v>
      </c>
      <c r="M27" s="418" t="s">
        <v>378</v>
      </c>
      <c r="S27" s="446"/>
    </row>
    <row r="28" spans="1:19" ht="15" x14ac:dyDescent="0.25">
      <c r="A28" s="419" t="s">
        <v>0</v>
      </c>
      <c r="B28" s="420">
        <v>7.16</v>
      </c>
      <c r="C28" s="421">
        <v>7.16</v>
      </c>
      <c r="D28" s="421">
        <v>7.16</v>
      </c>
      <c r="E28" s="421">
        <v>17.16</v>
      </c>
      <c r="F28" s="422">
        <f>E28-C28</f>
        <v>10</v>
      </c>
      <c r="G28" s="423">
        <f>IF(C28=0,"N/A",F28/C28)</f>
        <v>1.3966480446927374</v>
      </c>
      <c r="H28" s="420">
        <v>0</v>
      </c>
      <c r="I28" s="421">
        <v>0</v>
      </c>
      <c r="J28" s="421">
        <v>0</v>
      </c>
      <c r="K28" s="421">
        <v>0</v>
      </c>
      <c r="L28" s="422">
        <f>K28-I28</f>
        <v>0</v>
      </c>
      <c r="M28" s="423" t="str">
        <f>IF(I28=0,"N/A",L28/I28)</f>
        <v>N/A</v>
      </c>
    </row>
    <row r="29" spans="1:19" ht="15" x14ac:dyDescent="0.25">
      <c r="A29" s="419" t="s">
        <v>1</v>
      </c>
      <c r="B29" s="424">
        <v>44.4</v>
      </c>
      <c r="C29" s="425">
        <v>44.4</v>
      </c>
      <c r="D29" s="425">
        <v>45.238999999999997</v>
      </c>
      <c r="E29" s="425">
        <v>42.22</v>
      </c>
      <c r="F29" s="422">
        <f t="shared" ref="F29:F40" si="4">E29-C29</f>
        <v>-2.1799999999999997</v>
      </c>
      <c r="G29" s="423">
        <f t="shared" ref="G29:G40" si="5">IF(C29=0,"N/A",F29/C29)</f>
        <v>-4.9099099099099097E-2</v>
      </c>
      <c r="H29" s="424">
        <v>87.45</v>
      </c>
      <c r="I29" s="425">
        <v>88.76</v>
      </c>
      <c r="J29" s="425">
        <v>89.453999999999994</v>
      </c>
      <c r="K29" s="425">
        <v>93.26</v>
      </c>
      <c r="L29" s="422">
        <f t="shared" ref="L29:L40" si="6">K29-I29</f>
        <v>4.5</v>
      </c>
      <c r="M29" s="423">
        <f t="shared" ref="M29:M40" si="7">IF(I29=0,"N/A",L29/I29)</f>
        <v>5.0698512843623249E-2</v>
      </c>
    </row>
    <row r="30" spans="1:19" ht="15" x14ac:dyDescent="0.25">
      <c r="A30" s="419" t="s">
        <v>2</v>
      </c>
      <c r="B30" s="424">
        <v>123.649</v>
      </c>
      <c r="C30" s="425">
        <v>125</v>
      </c>
      <c r="D30" s="425">
        <v>129</v>
      </c>
      <c r="E30" s="425">
        <v>174.37</v>
      </c>
      <c r="F30" s="422">
        <f t="shared" si="4"/>
        <v>49.370000000000005</v>
      </c>
      <c r="G30" s="423">
        <f t="shared" si="5"/>
        <v>0.39496000000000003</v>
      </c>
      <c r="H30" s="424">
        <v>25.83</v>
      </c>
      <c r="I30" s="425">
        <v>25</v>
      </c>
      <c r="J30" s="425">
        <v>26</v>
      </c>
      <c r="K30" s="425">
        <v>27.75</v>
      </c>
      <c r="L30" s="422">
        <f t="shared" si="6"/>
        <v>2.75</v>
      </c>
      <c r="M30" s="423">
        <f t="shared" si="7"/>
        <v>0.11</v>
      </c>
    </row>
    <row r="31" spans="1:19" ht="15" x14ac:dyDescent="0.25">
      <c r="A31" s="419" t="s">
        <v>3</v>
      </c>
      <c r="B31" s="424">
        <v>0</v>
      </c>
      <c r="C31" s="425">
        <v>0</v>
      </c>
      <c r="D31" s="425"/>
      <c r="E31" s="425">
        <v>0</v>
      </c>
      <c r="F31" s="422">
        <f t="shared" si="4"/>
        <v>0</v>
      </c>
      <c r="G31" s="423" t="str">
        <f t="shared" si="5"/>
        <v>N/A</v>
      </c>
      <c r="H31" s="424">
        <v>0</v>
      </c>
      <c r="I31" s="425">
        <v>0</v>
      </c>
      <c r="J31" s="425">
        <v>0</v>
      </c>
      <c r="K31" s="425">
        <v>0</v>
      </c>
      <c r="L31" s="422">
        <f t="shared" si="6"/>
        <v>0</v>
      </c>
      <c r="M31" s="423" t="str">
        <f t="shared" si="7"/>
        <v>N/A</v>
      </c>
    </row>
    <row r="32" spans="1:19" ht="15" x14ac:dyDescent="0.25">
      <c r="A32" s="419" t="s">
        <v>7</v>
      </c>
      <c r="B32" s="424">
        <v>193.42</v>
      </c>
      <c r="C32" s="458">
        <v>128.33000000000001</v>
      </c>
      <c r="D32" s="458">
        <v>162.30000000000001</v>
      </c>
      <c r="E32" s="425">
        <v>123.13</v>
      </c>
      <c r="F32" s="422">
        <f t="shared" si="4"/>
        <v>-5.2000000000000171</v>
      </c>
      <c r="G32" s="423">
        <f t="shared" si="5"/>
        <v>-4.0520533000857291E-2</v>
      </c>
      <c r="H32" s="424">
        <v>17</v>
      </c>
      <c r="I32" s="425">
        <v>17</v>
      </c>
      <c r="J32" s="425">
        <v>17</v>
      </c>
      <c r="K32" s="425">
        <v>17</v>
      </c>
      <c r="L32" s="422">
        <f t="shared" si="6"/>
        <v>0</v>
      </c>
      <c r="M32" s="423">
        <f t="shared" si="7"/>
        <v>0</v>
      </c>
    </row>
    <row r="33" spans="1:14" ht="15" x14ac:dyDescent="0.25">
      <c r="A33" s="419" t="s">
        <v>8</v>
      </c>
      <c r="B33" s="424">
        <v>0.5</v>
      </c>
      <c r="C33" s="425">
        <v>0.5</v>
      </c>
      <c r="D33" s="425">
        <v>0.5</v>
      </c>
      <c r="E33" s="425">
        <v>3.5</v>
      </c>
      <c r="F33" s="422">
        <f t="shared" si="4"/>
        <v>3</v>
      </c>
      <c r="G33" s="423">
        <f t="shared" si="5"/>
        <v>6</v>
      </c>
      <c r="H33" s="424">
        <v>0</v>
      </c>
      <c r="I33" s="425">
        <v>0</v>
      </c>
      <c r="J33" s="425">
        <v>0</v>
      </c>
      <c r="K33" s="425">
        <v>0</v>
      </c>
      <c r="L33" s="422">
        <f t="shared" si="6"/>
        <v>0</v>
      </c>
      <c r="M33" s="423" t="str">
        <f t="shared" si="7"/>
        <v>N/A</v>
      </c>
    </row>
    <row r="34" spans="1:14" ht="16.2" x14ac:dyDescent="0.25">
      <c r="A34" s="419" t="s">
        <v>764</v>
      </c>
      <c r="B34" s="424">
        <v>44.297043000000002</v>
      </c>
      <c r="C34" s="425">
        <v>54</v>
      </c>
      <c r="D34" s="425">
        <v>54</v>
      </c>
      <c r="E34" s="425">
        <v>54.63</v>
      </c>
      <c r="F34" s="422">
        <f t="shared" si="4"/>
        <v>0.63000000000000256</v>
      </c>
      <c r="G34" s="423">
        <f t="shared" si="5"/>
        <v>1.1666666666666714E-2</v>
      </c>
      <c r="H34" s="424">
        <v>0.75</v>
      </c>
      <c r="I34" s="458">
        <v>1</v>
      </c>
      <c r="J34" s="458">
        <v>23.1</v>
      </c>
      <c r="K34" s="425">
        <v>30.55</v>
      </c>
      <c r="L34" s="422">
        <f t="shared" si="6"/>
        <v>29.55</v>
      </c>
      <c r="M34" s="423">
        <f t="shared" si="7"/>
        <v>29.55</v>
      </c>
    </row>
    <row r="35" spans="1:14" ht="15" x14ac:dyDescent="0.25">
      <c r="A35" s="419" t="s">
        <v>12</v>
      </c>
      <c r="B35" s="424">
        <v>0.26</v>
      </c>
      <c r="C35" s="425">
        <v>0.5</v>
      </c>
      <c r="D35" s="425">
        <v>0.02</v>
      </c>
      <c r="E35" s="425">
        <v>0.5</v>
      </c>
      <c r="F35" s="422">
        <f t="shared" si="4"/>
        <v>0</v>
      </c>
      <c r="G35" s="423">
        <f t="shared" si="5"/>
        <v>0</v>
      </c>
      <c r="H35" s="424">
        <v>0</v>
      </c>
      <c r="I35" s="425">
        <v>0</v>
      </c>
      <c r="J35" s="425">
        <v>0</v>
      </c>
      <c r="K35" s="425">
        <v>0</v>
      </c>
      <c r="L35" s="422">
        <f t="shared" si="6"/>
        <v>0</v>
      </c>
      <c r="M35" s="423" t="str">
        <f t="shared" si="7"/>
        <v>N/A</v>
      </c>
    </row>
    <row r="36" spans="1:14" ht="15" x14ac:dyDescent="0.25">
      <c r="A36" s="419" t="s">
        <v>525</v>
      </c>
      <c r="B36" s="424">
        <v>0</v>
      </c>
      <c r="C36" s="425">
        <v>0</v>
      </c>
      <c r="D36" s="425"/>
      <c r="E36" s="425">
        <v>0</v>
      </c>
      <c r="F36" s="422">
        <f t="shared" si="4"/>
        <v>0</v>
      </c>
      <c r="G36" s="423" t="str">
        <f t="shared" si="5"/>
        <v>N/A</v>
      </c>
      <c r="H36" s="424">
        <v>0</v>
      </c>
      <c r="I36" s="425">
        <v>0</v>
      </c>
      <c r="J36" s="425">
        <v>0</v>
      </c>
      <c r="K36" s="425">
        <v>0</v>
      </c>
      <c r="L36" s="422">
        <f t="shared" si="6"/>
        <v>0</v>
      </c>
      <c r="M36" s="423" t="str">
        <f t="shared" si="7"/>
        <v>N/A</v>
      </c>
    </row>
    <row r="37" spans="1:14" ht="15" x14ac:dyDescent="0.25">
      <c r="A37" s="426" t="s">
        <v>13</v>
      </c>
      <c r="B37" s="427">
        <v>16.239999999999998</v>
      </c>
      <c r="C37" s="428">
        <v>1</v>
      </c>
      <c r="D37" s="428">
        <v>15.6</v>
      </c>
      <c r="E37" s="428">
        <v>1</v>
      </c>
      <c r="F37" s="429">
        <f t="shared" si="4"/>
        <v>0</v>
      </c>
      <c r="G37" s="423">
        <f t="shared" si="5"/>
        <v>0</v>
      </c>
      <c r="H37" s="427">
        <v>0</v>
      </c>
      <c r="I37" s="428">
        <v>0</v>
      </c>
      <c r="J37" s="428">
        <v>0</v>
      </c>
      <c r="K37" s="428">
        <v>0</v>
      </c>
      <c r="L37" s="429">
        <f t="shared" si="6"/>
        <v>0</v>
      </c>
      <c r="M37" s="423" t="str">
        <f t="shared" si="7"/>
        <v>N/A</v>
      </c>
    </row>
    <row r="38" spans="1:14" ht="15" x14ac:dyDescent="0.25">
      <c r="A38" s="430" t="s">
        <v>527</v>
      </c>
      <c r="B38" s="431">
        <f>SUM(B28:B37)</f>
        <v>429.92604300000005</v>
      </c>
      <c r="C38" s="433">
        <f>SUM(C28:C37)</f>
        <v>360.89</v>
      </c>
      <c r="D38" s="433">
        <f>SUM(D28:D37)</f>
        <v>413.81900000000002</v>
      </c>
      <c r="E38" s="433">
        <f>SUM(E28:E37)</f>
        <v>416.51</v>
      </c>
      <c r="F38" s="448">
        <f t="shared" si="4"/>
        <v>55.620000000000005</v>
      </c>
      <c r="G38" s="434">
        <f t="shared" si="5"/>
        <v>0.1541189836238189</v>
      </c>
      <c r="H38" s="431">
        <f>SUM(H28:H37)</f>
        <v>131.03</v>
      </c>
      <c r="I38" s="433">
        <f>SUM(I28:I37)</f>
        <v>131.76</v>
      </c>
      <c r="J38" s="433">
        <f>SUM(J28:J37)</f>
        <v>155.554</v>
      </c>
      <c r="K38" s="433">
        <f>SUM(K28:K37)</f>
        <v>168.56</v>
      </c>
      <c r="L38" s="448">
        <f t="shared" si="6"/>
        <v>36.800000000000011</v>
      </c>
      <c r="M38" s="434">
        <f t="shared" si="7"/>
        <v>0.27929568913175479</v>
      </c>
    </row>
    <row r="39" spans="1:14" ht="15" x14ac:dyDescent="0.25">
      <c r="A39" s="435" t="s">
        <v>30</v>
      </c>
      <c r="B39" s="436">
        <v>22.188158999999999</v>
      </c>
      <c r="C39" s="437">
        <v>4</v>
      </c>
      <c r="D39" s="437">
        <v>12.367000000000001</v>
      </c>
      <c r="E39" s="437">
        <v>5</v>
      </c>
      <c r="F39" s="438">
        <f t="shared" si="4"/>
        <v>1</v>
      </c>
      <c r="G39" s="439">
        <f t="shared" si="5"/>
        <v>0.25</v>
      </c>
      <c r="H39" s="436">
        <v>0</v>
      </c>
      <c r="I39" s="437">
        <v>0</v>
      </c>
      <c r="J39" s="437">
        <v>0</v>
      </c>
      <c r="K39" s="437">
        <v>0</v>
      </c>
      <c r="L39" s="438">
        <f t="shared" si="6"/>
        <v>0</v>
      </c>
      <c r="M39" s="439" t="str">
        <f t="shared" si="7"/>
        <v>N/A</v>
      </c>
    </row>
    <row r="40" spans="1:14" ht="15.6" thickBot="1" x14ac:dyDescent="0.3">
      <c r="A40" s="440" t="s">
        <v>24</v>
      </c>
      <c r="B40" s="441">
        <f>SUM(B38:B39)</f>
        <v>452.11420200000003</v>
      </c>
      <c r="C40" s="442">
        <f>SUM(C38:C39)</f>
        <v>364.89</v>
      </c>
      <c r="D40" s="442">
        <f>SUM(D38:D39)</f>
        <v>426.18600000000004</v>
      </c>
      <c r="E40" s="442">
        <f t="shared" ref="E40" si="8">SUM(E38:E39)</f>
        <v>421.51</v>
      </c>
      <c r="F40" s="443">
        <f t="shared" si="4"/>
        <v>56.620000000000005</v>
      </c>
      <c r="G40" s="444">
        <f t="shared" si="5"/>
        <v>0.15517005124832142</v>
      </c>
      <c r="H40" s="441">
        <f>SUM(H38:H39)</f>
        <v>131.03</v>
      </c>
      <c r="I40" s="442">
        <f>SUM(I38:I39)</f>
        <v>131.76</v>
      </c>
      <c r="J40" s="442">
        <f>SUM(J38:J39)</f>
        <v>155.554</v>
      </c>
      <c r="K40" s="442">
        <f t="shared" ref="K40" si="9">SUM(K38:K39)</f>
        <v>168.56</v>
      </c>
      <c r="L40" s="443">
        <f t="shared" si="6"/>
        <v>36.800000000000011</v>
      </c>
      <c r="M40" s="444">
        <f t="shared" si="7"/>
        <v>0.27929568913175479</v>
      </c>
      <c r="N40" s="412" t="s">
        <v>560</v>
      </c>
    </row>
    <row r="41" spans="1:14" ht="16.350000000000001" customHeight="1" thickTop="1" x14ac:dyDescent="0.3">
      <c r="A41" s="894" t="s">
        <v>765</v>
      </c>
      <c r="B41" s="894"/>
      <c r="C41" s="894"/>
      <c r="D41" s="894"/>
      <c r="E41" s="894"/>
      <c r="F41" s="894"/>
      <c r="G41" s="894"/>
      <c r="H41" s="894"/>
      <c r="I41" s="894"/>
      <c r="J41" s="894"/>
      <c r="K41" s="894"/>
      <c r="L41" s="894"/>
      <c r="M41" s="894"/>
    </row>
    <row r="42" spans="1:14" s="452" customFormat="1" ht="13.2" x14ac:dyDescent="0.3">
      <c r="A42" s="455"/>
      <c r="B42" s="455"/>
      <c r="C42" s="455"/>
      <c r="D42" s="455"/>
      <c r="F42" s="455"/>
      <c r="G42" s="455"/>
      <c r="H42" s="455"/>
      <c r="I42" s="455"/>
      <c r="J42" s="455"/>
      <c r="K42" s="455"/>
      <c r="L42" s="455"/>
      <c r="M42" s="455"/>
    </row>
    <row r="43" spans="1:14" ht="16.350000000000001" customHeight="1" thickBot="1" x14ac:dyDescent="0.4">
      <c r="A43" s="888" t="s">
        <v>369</v>
      </c>
      <c r="B43" s="888"/>
      <c r="C43" s="888"/>
      <c r="D43" s="888"/>
      <c r="E43" s="888"/>
      <c r="F43" s="888"/>
      <c r="G43" s="888"/>
      <c r="H43" s="888"/>
      <c r="I43" s="888"/>
      <c r="J43" s="888"/>
      <c r="K43" s="888"/>
      <c r="L43" s="888"/>
      <c r="M43" s="888"/>
    </row>
    <row r="44" spans="1:14" ht="39" customHeight="1" thickTop="1" x14ac:dyDescent="0.35">
      <c r="A44" s="414"/>
      <c r="B44" s="889" t="s">
        <v>531</v>
      </c>
      <c r="C44" s="889"/>
      <c r="D44" s="889"/>
      <c r="E44" s="889"/>
      <c r="F44" s="889"/>
      <c r="G44" s="889"/>
      <c r="H44" s="889" t="s">
        <v>231</v>
      </c>
      <c r="I44" s="889"/>
      <c r="J44" s="889"/>
      <c r="K44" s="889"/>
      <c r="L44" s="889"/>
      <c r="M44" s="889"/>
    </row>
    <row r="45" spans="1:14" ht="30" customHeight="1" x14ac:dyDescent="0.35">
      <c r="A45" s="415"/>
      <c r="B45" s="895" t="s">
        <v>760</v>
      </c>
      <c r="C45" s="890" t="s">
        <v>761</v>
      </c>
      <c r="D45" s="890" t="s">
        <v>762</v>
      </c>
      <c r="E45" s="890" t="s">
        <v>26</v>
      </c>
      <c r="F45" s="892" t="s">
        <v>763</v>
      </c>
      <c r="G45" s="893"/>
      <c r="H45" s="895" t="s">
        <v>760</v>
      </c>
      <c r="I45" s="890" t="s">
        <v>761</v>
      </c>
      <c r="J45" s="890" t="s">
        <v>762</v>
      </c>
      <c r="K45" s="890" t="s">
        <v>26</v>
      </c>
      <c r="L45" s="892" t="s">
        <v>763</v>
      </c>
      <c r="M45" s="893"/>
    </row>
    <row r="46" spans="1:14" ht="16.350000000000001" customHeight="1" x14ac:dyDescent="0.35">
      <c r="A46" s="416"/>
      <c r="B46" s="896"/>
      <c r="C46" s="891"/>
      <c r="D46" s="891"/>
      <c r="E46" s="891"/>
      <c r="F46" s="417" t="s">
        <v>377</v>
      </c>
      <c r="G46" s="418" t="s">
        <v>378</v>
      </c>
      <c r="H46" s="896"/>
      <c r="I46" s="891"/>
      <c r="J46" s="891"/>
      <c r="K46" s="891"/>
      <c r="L46" s="417" t="s">
        <v>377</v>
      </c>
      <c r="M46" s="418" t="s">
        <v>378</v>
      </c>
    </row>
    <row r="47" spans="1:14" ht="15" x14ac:dyDescent="0.25">
      <c r="A47" s="419" t="s">
        <v>0</v>
      </c>
      <c r="B47" s="420">
        <v>20</v>
      </c>
      <c r="C47" s="421">
        <v>20</v>
      </c>
      <c r="D47" s="421">
        <v>20</v>
      </c>
      <c r="E47" s="421">
        <v>20</v>
      </c>
      <c r="F47" s="422">
        <f>E47-C47</f>
        <v>0</v>
      </c>
      <c r="G47" s="423">
        <f>IF(C47=0,"N/A",F47/C47)</f>
        <v>0</v>
      </c>
      <c r="H47" s="420">
        <v>110</v>
      </c>
      <c r="I47" s="421">
        <v>118</v>
      </c>
      <c r="J47" s="421">
        <v>118</v>
      </c>
      <c r="K47" s="421">
        <v>130</v>
      </c>
      <c r="L47" s="422">
        <f>K47-I47</f>
        <v>12</v>
      </c>
      <c r="M47" s="423">
        <f>IF(I47=0,"N/A",L47/I47)</f>
        <v>0.10169491525423729</v>
      </c>
    </row>
    <row r="48" spans="1:14" ht="15" x14ac:dyDescent="0.25">
      <c r="A48" s="419" t="s">
        <v>1</v>
      </c>
      <c r="B48" s="424">
        <v>344</v>
      </c>
      <c r="C48" s="425">
        <v>344</v>
      </c>
      <c r="D48" s="425">
        <v>346.96100000000001</v>
      </c>
      <c r="E48" s="425">
        <v>369.8</v>
      </c>
      <c r="F48" s="422">
        <f t="shared" ref="F48:F59" si="10">E48-C48</f>
        <v>25.800000000000011</v>
      </c>
      <c r="G48" s="423">
        <f t="shared" ref="G48:G59" si="11">IF(C48=0,"N/A",F48/C48)</f>
        <v>7.5000000000000039E-2</v>
      </c>
      <c r="H48" s="424">
        <v>6.92</v>
      </c>
      <c r="I48" s="425">
        <v>6.92</v>
      </c>
      <c r="J48" s="425">
        <v>9.6509999999999998</v>
      </c>
      <c r="K48" s="425">
        <v>6</v>
      </c>
      <c r="L48" s="422">
        <f t="shared" ref="L48:L59" si="12">K48-I48</f>
        <v>-0.91999999999999993</v>
      </c>
      <c r="M48" s="423">
        <f t="shared" ref="M48:M59" si="13">IF(I48=0,"N/A",L48/I48)</f>
        <v>-0.13294797687861271</v>
      </c>
    </row>
    <row r="49" spans="1:16" ht="15" x14ac:dyDescent="0.25">
      <c r="A49" s="419" t="s">
        <v>2</v>
      </c>
      <c r="B49" s="424">
        <v>85.86</v>
      </c>
      <c r="C49" s="425">
        <v>87.6</v>
      </c>
      <c r="D49" s="425">
        <v>88</v>
      </c>
      <c r="E49" s="425">
        <v>95.8</v>
      </c>
      <c r="F49" s="422">
        <f t="shared" si="10"/>
        <v>8.2000000000000028</v>
      </c>
      <c r="G49" s="423">
        <f t="shared" si="11"/>
        <v>9.3607305936073096E-2</v>
      </c>
      <c r="H49" s="424">
        <v>86.772000000000006</v>
      </c>
      <c r="I49" s="425">
        <v>91</v>
      </c>
      <c r="J49" s="425">
        <v>92</v>
      </c>
      <c r="K49" s="425">
        <v>101.5</v>
      </c>
      <c r="L49" s="422">
        <f t="shared" si="12"/>
        <v>10.5</v>
      </c>
      <c r="M49" s="423">
        <f t="shared" si="13"/>
        <v>0.11538461538461539</v>
      </c>
    </row>
    <row r="50" spans="1:16" ht="15" x14ac:dyDescent="0.25">
      <c r="A50" s="419" t="s">
        <v>3</v>
      </c>
      <c r="B50" s="424">
        <v>1</v>
      </c>
      <c r="C50" s="425">
        <v>5</v>
      </c>
      <c r="D50" s="425">
        <v>1</v>
      </c>
      <c r="E50" s="425">
        <v>5</v>
      </c>
      <c r="F50" s="422">
        <f t="shared" si="10"/>
        <v>0</v>
      </c>
      <c r="G50" s="423">
        <f t="shared" si="11"/>
        <v>0</v>
      </c>
      <c r="H50" s="424">
        <v>10</v>
      </c>
      <c r="I50" s="425">
        <v>10</v>
      </c>
      <c r="J50" s="425">
        <v>10</v>
      </c>
      <c r="K50" s="425">
        <v>10</v>
      </c>
      <c r="L50" s="422">
        <f t="shared" si="12"/>
        <v>0</v>
      </c>
      <c r="M50" s="423">
        <f t="shared" si="13"/>
        <v>0</v>
      </c>
    </row>
    <row r="51" spans="1:16" ht="15" x14ac:dyDescent="0.25">
      <c r="A51" s="419" t="s">
        <v>7</v>
      </c>
      <c r="B51" s="424">
        <v>110.63</v>
      </c>
      <c r="C51" s="425">
        <v>75.209999999999994</v>
      </c>
      <c r="D51" s="425">
        <v>134.18</v>
      </c>
      <c r="E51" s="425">
        <v>71.67</v>
      </c>
      <c r="F51" s="422">
        <f t="shared" si="10"/>
        <v>-3.539999999999992</v>
      </c>
      <c r="G51" s="423">
        <f t="shared" si="11"/>
        <v>-4.7068209014758576E-2</v>
      </c>
      <c r="H51" s="424">
        <v>91.88</v>
      </c>
      <c r="I51" s="425">
        <v>62.2</v>
      </c>
      <c r="J51" s="425">
        <v>75.63</v>
      </c>
      <c r="K51" s="425">
        <v>62.2</v>
      </c>
      <c r="L51" s="422">
        <f t="shared" si="12"/>
        <v>0</v>
      </c>
      <c r="M51" s="423">
        <f t="shared" si="13"/>
        <v>0</v>
      </c>
    </row>
    <row r="52" spans="1:16" ht="15" x14ac:dyDescent="0.25">
      <c r="A52" s="419" t="s">
        <v>8</v>
      </c>
      <c r="B52" s="424">
        <v>15.06</v>
      </c>
      <c r="C52" s="425">
        <v>16.420000000000002</v>
      </c>
      <c r="D52" s="425">
        <v>17.739999999999998</v>
      </c>
      <c r="E52" s="425">
        <v>19.59</v>
      </c>
      <c r="F52" s="422">
        <f t="shared" si="10"/>
        <v>3.1699999999999982</v>
      </c>
      <c r="G52" s="423">
        <f t="shared" si="11"/>
        <v>0.19305724725943957</v>
      </c>
      <c r="H52" s="424">
        <v>2.0425550000000001</v>
      </c>
      <c r="I52" s="425">
        <v>1.5</v>
      </c>
      <c r="J52" s="425">
        <v>1.68</v>
      </c>
      <c r="K52" s="425">
        <v>1.5</v>
      </c>
      <c r="L52" s="422">
        <f t="shared" si="12"/>
        <v>0</v>
      </c>
      <c r="M52" s="423">
        <f t="shared" si="13"/>
        <v>0</v>
      </c>
    </row>
    <row r="53" spans="1:16" ht="16.2" x14ac:dyDescent="0.25">
      <c r="A53" s="419" t="s">
        <v>764</v>
      </c>
      <c r="B53" s="424">
        <v>86.79</v>
      </c>
      <c r="C53" s="425">
        <v>100</v>
      </c>
      <c r="D53" s="425">
        <v>100</v>
      </c>
      <c r="E53" s="425">
        <v>101.55</v>
      </c>
      <c r="F53" s="422">
        <f t="shared" si="10"/>
        <v>1.5499999999999972</v>
      </c>
      <c r="G53" s="423">
        <f t="shared" si="11"/>
        <v>1.5499999999999972E-2</v>
      </c>
      <c r="H53" s="424">
        <v>11.837999999999999</v>
      </c>
      <c r="I53" s="425">
        <v>14</v>
      </c>
      <c r="J53" s="425">
        <v>30</v>
      </c>
      <c r="K53" s="425">
        <v>69.06</v>
      </c>
      <c r="L53" s="422">
        <f t="shared" si="12"/>
        <v>55.06</v>
      </c>
      <c r="M53" s="423">
        <f t="shared" si="13"/>
        <v>3.9328571428571428</v>
      </c>
    </row>
    <row r="54" spans="1:16" ht="15" x14ac:dyDescent="0.25">
      <c r="A54" s="419" t="s">
        <v>12</v>
      </c>
      <c r="B54" s="424">
        <v>0.33</v>
      </c>
      <c r="C54" s="425">
        <v>0</v>
      </c>
      <c r="D54" s="425">
        <v>0</v>
      </c>
      <c r="E54" s="425">
        <v>0</v>
      </c>
      <c r="F54" s="422">
        <f t="shared" si="10"/>
        <v>0</v>
      </c>
      <c r="G54" s="423" t="str">
        <f t="shared" si="11"/>
        <v>N/A</v>
      </c>
      <c r="H54" s="424">
        <v>0</v>
      </c>
      <c r="I54" s="425">
        <v>0</v>
      </c>
      <c r="J54" s="425">
        <v>0</v>
      </c>
      <c r="K54" s="425">
        <v>0</v>
      </c>
      <c r="L54" s="422">
        <f t="shared" si="12"/>
        <v>0</v>
      </c>
      <c r="M54" s="423" t="str">
        <f t="shared" si="13"/>
        <v>N/A</v>
      </c>
    </row>
    <row r="55" spans="1:16" ht="15" x14ac:dyDescent="0.25">
      <c r="A55" s="419" t="s">
        <v>525</v>
      </c>
      <c r="B55" s="424">
        <v>0</v>
      </c>
      <c r="C55" s="425">
        <v>0</v>
      </c>
      <c r="D55" s="425">
        <v>0</v>
      </c>
      <c r="E55" s="425">
        <v>0</v>
      </c>
      <c r="F55" s="422">
        <f t="shared" si="10"/>
        <v>0</v>
      </c>
      <c r="G55" s="423" t="str">
        <f t="shared" si="11"/>
        <v>N/A</v>
      </c>
      <c r="H55" s="424">
        <v>1.6</v>
      </c>
      <c r="I55" s="425">
        <v>1.6</v>
      </c>
      <c r="J55" s="425">
        <v>1.6</v>
      </c>
      <c r="K55" s="425">
        <v>2</v>
      </c>
      <c r="L55" s="422">
        <f t="shared" si="12"/>
        <v>0.39999999999999991</v>
      </c>
      <c r="M55" s="423">
        <f t="shared" si="13"/>
        <v>0.24999999999999994</v>
      </c>
    </row>
    <row r="56" spans="1:16" ht="15" x14ac:dyDescent="0.25">
      <c r="A56" s="426" t="s">
        <v>13</v>
      </c>
      <c r="B56" s="427">
        <v>9.07</v>
      </c>
      <c r="C56" s="428">
        <v>1</v>
      </c>
      <c r="D56" s="428">
        <v>14.3</v>
      </c>
      <c r="E56" s="428">
        <v>1</v>
      </c>
      <c r="F56" s="429">
        <f t="shared" si="10"/>
        <v>0</v>
      </c>
      <c r="G56" s="423">
        <f t="shared" si="11"/>
        <v>0</v>
      </c>
      <c r="H56" s="427">
        <v>1</v>
      </c>
      <c r="I56" s="428">
        <v>1</v>
      </c>
      <c r="J56" s="428">
        <v>22.52</v>
      </c>
      <c r="K56" s="428">
        <v>1</v>
      </c>
      <c r="L56" s="429">
        <f t="shared" si="12"/>
        <v>0</v>
      </c>
      <c r="M56" s="423">
        <f t="shared" si="13"/>
        <v>0</v>
      </c>
    </row>
    <row r="57" spans="1:16" ht="15" x14ac:dyDescent="0.25">
      <c r="A57" s="430" t="s">
        <v>527</v>
      </c>
      <c r="B57" s="431">
        <f>SUM(B47:B56)</f>
        <v>672.74</v>
      </c>
      <c r="C57" s="433">
        <f>SUM(C47:C56)</f>
        <v>649.23</v>
      </c>
      <c r="D57" s="433">
        <f>SUM(D47:D56)</f>
        <v>722.18100000000004</v>
      </c>
      <c r="E57" s="433">
        <f>SUM(E47:E56)</f>
        <v>684.41</v>
      </c>
      <c r="F57" s="448">
        <f t="shared" si="10"/>
        <v>35.17999999999995</v>
      </c>
      <c r="G57" s="434">
        <f t="shared" si="11"/>
        <v>5.418726799439328E-2</v>
      </c>
      <c r="H57" s="431">
        <f>SUM(H47:H56)</f>
        <v>322.05255500000004</v>
      </c>
      <c r="I57" s="433">
        <f>SUM(I47:I56)</f>
        <v>306.22000000000003</v>
      </c>
      <c r="J57" s="433">
        <f>SUM(J47:J56)</f>
        <v>361.08100000000002</v>
      </c>
      <c r="K57" s="433">
        <f>SUM(K47:K56)</f>
        <v>383.26</v>
      </c>
      <c r="L57" s="448">
        <f t="shared" si="12"/>
        <v>77.039999999999964</v>
      </c>
      <c r="M57" s="434">
        <f t="shared" si="13"/>
        <v>0.25158382861994633</v>
      </c>
    </row>
    <row r="58" spans="1:16" ht="15" x14ac:dyDescent="0.25">
      <c r="A58" s="435" t="s">
        <v>30</v>
      </c>
      <c r="B58" s="436">
        <v>0</v>
      </c>
      <c r="C58" s="437">
        <v>30</v>
      </c>
      <c r="D58" s="437">
        <v>59.61</v>
      </c>
      <c r="E58" s="437">
        <v>50</v>
      </c>
      <c r="F58" s="438">
        <f t="shared" si="10"/>
        <v>20</v>
      </c>
      <c r="G58" s="439">
        <f t="shared" si="11"/>
        <v>0.66666666666666663</v>
      </c>
      <c r="H58" s="436">
        <v>0</v>
      </c>
      <c r="I58" s="437">
        <v>9</v>
      </c>
      <c r="J58" s="437">
        <v>9.3699999999999992</v>
      </c>
      <c r="K58" s="437">
        <v>9</v>
      </c>
      <c r="L58" s="438">
        <f t="shared" si="12"/>
        <v>0</v>
      </c>
      <c r="M58" s="439">
        <f t="shared" si="13"/>
        <v>0</v>
      </c>
    </row>
    <row r="59" spans="1:16" ht="15.6" thickBot="1" x14ac:dyDescent="0.3">
      <c r="A59" s="440" t="s">
        <v>24</v>
      </c>
      <c r="B59" s="441">
        <f>SUM(B57:B58)</f>
        <v>672.74</v>
      </c>
      <c r="C59" s="442">
        <f>SUM(C57:C58)</f>
        <v>679.23</v>
      </c>
      <c r="D59" s="442">
        <f>SUM(D57:D58)</f>
        <v>781.79100000000005</v>
      </c>
      <c r="E59" s="442">
        <f t="shared" ref="E59" si="14">SUM(E57:E58)</f>
        <v>734.41</v>
      </c>
      <c r="F59" s="443">
        <f t="shared" si="10"/>
        <v>55.17999999999995</v>
      </c>
      <c r="G59" s="444">
        <f t="shared" si="11"/>
        <v>8.1239050100849419E-2</v>
      </c>
      <c r="H59" s="441">
        <f>SUM(H57:H58)</f>
        <v>322.05255500000004</v>
      </c>
      <c r="I59" s="442">
        <f>SUM(I57:I58)</f>
        <v>315.22000000000003</v>
      </c>
      <c r="J59" s="442">
        <f>SUM(J57:J58)</f>
        <v>370.45100000000002</v>
      </c>
      <c r="K59" s="442">
        <f t="shared" ref="K59" si="15">SUM(K57:K58)</f>
        <v>392.26</v>
      </c>
      <c r="L59" s="443">
        <f t="shared" si="12"/>
        <v>77.039999999999964</v>
      </c>
      <c r="M59" s="444">
        <f t="shared" si="13"/>
        <v>0.24440073599390888</v>
      </c>
      <c r="P59" s="411"/>
    </row>
    <row r="60" spans="1:16" ht="16.350000000000001" customHeight="1" thickTop="1" thickBot="1" x14ac:dyDescent="0.35">
      <c r="A60" s="894" t="s">
        <v>765</v>
      </c>
      <c r="B60" s="894"/>
      <c r="C60" s="894"/>
      <c r="D60" s="894"/>
      <c r="E60" s="894"/>
      <c r="F60" s="894"/>
      <c r="G60" s="894"/>
      <c r="H60" s="894"/>
      <c r="I60" s="894"/>
      <c r="J60" s="894"/>
      <c r="K60" s="894"/>
      <c r="L60" s="894"/>
      <c r="M60" s="894"/>
    </row>
    <row r="61" spans="1:16" s="452" customFormat="1" thickBot="1" x14ac:dyDescent="0.35">
      <c r="A61" s="460" t="s">
        <v>766</v>
      </c>
      <c r="B61" s="449"/>
      <c r="C61" s="449"/>
      <c r="D61" s="449"/>
      <c r="E61" s="461" t="s">
        <v>767</v>
      </c>
      <c r="F61" s="449"/>
      <c r="G61" s="449"/>
      <c r="H61" s="449"/>
      <c r="I61" s="449"/>
      <c r="J61" s="449"/>
      <c r="K61" s="449"/>
      <c r="L61" s="449"/>
      <c r="M61" s="451"/>
    </row>
    <row r="62" spans="1:16" ht="14.4" x14ac:dyDescent="0.3">
      <c r="A62" s="445"/>
      <c r="B62" s="445"/>
      <c r="C62" s="445"/>
      <c r="D62" s="445"/>
      <c r="F62" s="445"/>
      <c r="G62" s="445"/>
      <c r="H62" s="445"/>
      <c r="I62" s="445"/>
      <c r="J62" s="445"/>
      <c r="K62" s="445"/>
      <c r="L62" s="445"/>
      <c r="M62" s="445"/>
    </row>
    <row r="63" spans="1:16" ht="15.6" thickBot="1" x14ac:dyDescent="0.4">
      <c r="A63" s="888" t="s">
        <v>369</v>
      </c>
      <c r="B63" s="888"/>
      <c r="C63" s="888"/>
      <c r="D63" s="888"/>
      <c r="E63" s="888"/>
      <c r="F63" s="888"/>
      <c r="G63" s="888"/>
      <c r="H63" s="888"/>
      <c r="I63" s="888"/>
      <c r="J63" s="888"/>
      <c r="K63" s="888"/>
      <c r="L63" s="888"/>
      <c r="M63" s="888"/>
    </row>
    <row r="64" spans="1:16" ht="39" customHeight="1" thickTop="1" x14ac:dyDescent="0.35">
      <c r="A64" s="414"/>
      <c r="B64" s="889" t="s">
        <v>768</v>
      </c>
      <c r="C64" s="889"/>
      <c r="D64" s="889"/>
      <c r="E64" s="889"/>
      <c r="F64" s="889"/>
      <c r="G64" s="889"/>
      <c r="H64" s="889" t="s">
        <v>238</v>
      </c>
      <c r="I64" s="889"/>
      <c r="J64" s="889"/>
      <c r="K64" s="889"/>
      <c r="L64" s="889"/>
      <c r="M64" s="889"/>
    </row>
    <row r="65" spans="1:13" ht="30" customHeight="1" x14ac:dyDescent="0.35">
      <c r="A65" s="415"/>
      <c r="B65" s="895" t="s">
        <v>760</v>
      </c>
      <c r="C65" s="890" t="s">
        <v>761</v>
      </c>
      <c r="D65" s="890" t="s">
        <v>762</v>
      </c>
      <c r="E65" s="890" t="s">
        <v>26</v>
      </c>
      <c r="F65" s="892" t="s">
        <v>763</v>
      </c>
      <c r="G65" s="893"/>
      <c r="H65" s="895" t="s">
        <v>760</v>
      </c>
      <c r="I65" s="890" t="s">
        <v>761</v>
      </c>
      <c r="J65" s="890" t="s">
        <v>762</v>
      </c>
      <c r="K65" s="890" t="s">
        <v>26</v>
      </c>
      <c r="L65" s="892" t="s">
        <v>763</v>
      </c>
      <c r="M65" s="893"/>
    </row>
    <row r="66" spans="1:13" ht="16.350000000000001" customHeight="1" x14ac:dyDescent="0.35">
      <c r="A66" s="416"/>
      <c r="B66" s="896"/>
      <c r="C66" s="891"/>
      <c r="D66" s="891"/>
      <c r="E66" s="891"/>
      <c r="F66" s="417" t="s">
        <v>377</v>
      </c>
      <c r="G66" s="418" t="s">
        <v>378</v>
      </c>
      <c r="H66" s="896"/>
      <c r="I66" s="891"/>
      <c r="J66" s="891"/>
      <c r="K66" s="891"/>
      <c r="L66" s="417" t="s">
        <v>377</v>
      </c>
      <c r="M66" s="418" t="s">
        <v>378</v>
      </c>
    </row>
    <row r="67" spans="1:13" ht="15" x14ac:dyDescent="0.25">
      <c r="A67" s="419" t="s">
        <v>0</v>
      </c>
      <c r="B67" s="420">
        <v>3.28</v>
      </c>
      <c r="C67" s="421">
        <v>3.28</v>
      </c>
      <c r="D67" s="421">
        <v>3.28</v>
      </c>
      <c r="E67" s="421">
        <v>3.28</v>
      </c>
      <c r="F67" s="422">
        <f>E67-C67</f>
        <v>0</v>
      </c>
      <c r="G67" s="423">
        <f>IF(C67=0,"N/A",F67/C67)</f>
        <v>0</v>
      </c>
      <c r="H67" s="420">
        <v>0</v>
      </c>
      <c r="I67" s="421">
        <v>0</v>
      </c>
      <c r="J67" s="421">
        <v>3</v>
      </c>
      <c r="K67" s="421">
        <v>0</v>
      </c>
      <c r="L67" s="422">
        <f>K67-I67</f>
        <v>0</v>
      </c>
      <c r="M67" s="423" t="str">
        <f>IF(I67=0,"N/A",L67/I67)</f>
        <v>N/A</v>
      </c>
    </row>
    <row r="68" spans="1:13" ht="15" x14ac:dyDescent="0.25">
      <c r="A68" s="419" t="s">
        <v>1</v>
      </c>
      <c r="B68" s="424">
        <v>20.7</v>
      </c>
      <c r="C68" s="425">
        <v>20.7</v>
      </c>
      <c r="D68" s="425">
        <v>25.027000000000001</v>
      </c>
      <c r="E68" s="425">
        <v>24.28</v>
      </c>
      <c r="F68" s="422">
        <f t="shared" ref="F68:F79" si="16">E68-C68</f>
        <v>3.5800000000000018</v>
      </c>
      <c r="G68" s="423">
        <f t="shared" ref="G68:G79" si="17">IF(C68=0,"N/A",F68/C68)</f>
        <v>0.17294685990338174</v>
      </c>
      <c r="H68" s="424">
        <v>17.95</v>
      </c>
      <c r="I68" s="425">
        <v>18.46</v>
      </c>
      <c r="J68" s="425">
        <v>41</v>
      </c>
      <c r="K68" s="425">
        <v>23.46</v>
      </c>
      <c r="L68" s="422">
        <f t="shared" ref="L68:L79" si="18">K68-I68</f>
        <v>5</v>
      </c>
      <c r="M68" s="423">
        <f t="shared" ref="M68:M79" si="19">IF(I68=0,"N/A",L68/I68)</f>
        <v>0.27085590465872156</v>
      </c>
    </row>
    <row r="69" spans="1:13" ht="15" x14ac:dyDescent="0.25">
      <c r="A69" s="419" t="s">
        <v>2</v>
      </c>
      <c r="B69" s="424">
        <v>21.31</v>
      </c>
      <c r="C69" s="425">
        <v>29.5</v>
      </c>
      <c r="D69" s="425">
        <v>31.17</v>
      </c>
      <c r="E69" s="425">
        <v>32.89</v>
      </c>
      <c r="F69" s="422">
        <f t="shared" si="16"/>
        <v>3.3900000000000006</v>
      </c>
      <c r="G69" s="423">
        <f t="shared" si="17"/>
        <v>0.11491525423728816</v>
      </c>
      <c r="H69" s="424">
        <v>43.07</v>
      </c>
      <c r="I69" s="425">
        <v>42</v>
      </c>
      <c r="J69" s="425">
        <v>43</v>
      </c>
      <c r="K69" s="425">
        <v>46</v>
      </c>
      <c r="L69" s="422">
        <f t="shared" si="18"/>
        <v>4</v>
      </c>
      <c r="M69" s="423">
        <f t="shared" si="19"/>
        <v>9.5238095238095233E-2</v>
      </c>
    </row>
    <row r="70" spans="1:13" ht="15" x14ac:dyDescent="0.25">
      <c r="A70" s="419" t="s">
        <v>3</v>
      </c>
      <c r="B70" s="424">
        <v>0</v>
      </c>
      <c r="C70" s="425">
        <v>0</v>
      </c>
      <c r="D70" s="425">
        <v>0</v>
      </c>
      <c r="E70" s="425">
        <v>0</v>
      </c>
      <c r="F70" s="422">
        <f t="shared" si="16"/>
        <v>0</v>
      </c>
      <c r="G70" s="423" t="str">
        <f t="shared" si="17"/>
        <v>N/A</v>
      </c>
      <c r="H70" s="424">
        <v>0</v>
      </c>
      <c r="I70" s="425">
        <v>0</v>
      </c>
      <c r="J70" s="425">
        <v>0</v>
      </c>
      <c r="K70" s="425">
        <v>0</v>
      </c>
      <c r="L70" s="422">
        <f t="shared" si="18"/>
        <v>0</v>
      </c>
      <c r="M70" s="423" t="str">
        <f t="shared" si="19"/>
        <v>N/A</v>
      </c>
    </row>
    <row r="71" spans="1:13" ht="15" x14ac:dyDescent="0.25">
      <c r="A71" s="419" t="s">
        <v>7</v>
      </c>
      <c r="B71" s="424">
        <v>154.03</v>
      </c>
      <c r="C71" s="425">
        <v>169</v>
      </c>
      <c r="D71" s="425">
        <v>229.87</v>
      </c>
      <c r="E71" s="425">
        <v>156.13</v>
      </c>
      <c r="F71" s="422">
        <f t="shared" si="16"/>
        <v>-12.870000000000005</v>
      </c>
      <c r="G71" s="423">
        <f t="shared" si="17"/>
        <v>-7.6153846153846183E-2</v>
      </c>
      <c r="H71" s="424">
        <v>57.31</v>
      </c>
      <c r="I71" s="425">
        <v>31</v>
      </c>
      <c r="J71" s="425">
        <v>50.96</v>
      </c>
      <c r="K71" s="425">
        <v>26</v>
      </c>
      <c r="L71" s="422">
        <f t="shared" si="18"/>
        <v>-5</v>
      </c>
      <c r="M71" s="423">
        <f t="shared" si="19"/>
        <v>-0.16129032258064516</v>
      </c>
    </row>
    <row r="72" spans="1:13" ht="15" x14ac:dyDescent="0.25">
      <c r="A72" s="419" t="s">
        <v>8</v>
      </c>
      <c r="B72" s="424">
        <v>0</v>
      </c>
      <c r="C72" s="425">
        <v>0</v>
      </c>
      <c r="D72" s="425"/>
      <c r="E72" s="425">
        <v>0</v>
      </c>
      <c r="F72" s="422">
        <f t="shared" si="16"/>
        <v>0</v>
      </c>
      <c r="G72" s="423" t="str">
        <f t="shared" si="17"/>
        <v>N/A</v>
      </c>
      <c r="H72" s="424">
        <v>0</v>
      </c>
      <c r="I72" s="425">
        <v>0</v>
      </c>
      <c r="J72" s="425">
        <v>0</v>
      </c>
      <c r="K72" s="425">
        <v>0</v>
      </c>
      <c r="L72" s="422">
        <f t="shared" si="18"/>
        <v>0</v>
      </c>
      <c r="M72" s="423" t="str">
        <f t="shared" si="19"/>
        <v>N/A</v>
      </c>
    </row>
    <row r="73" spans="1:13" ht="16.2" x14ac:dyDescent="0.25">
      <c r="A73" s="419" t="s">
        <v>764</v>
      </c>
      <c r="B73" s="424">
        <v>20.53</v>
      </c>
      <c r="C73" s="425">
        <v>25</v>
      </c>
      <c r="D73" s="425">
        <v>25</v>
      </c>
      <c r="E73" s="425">
        <v>38.42</v>
      </c>
      <c r="F73" s="422">
        <f t="shared" si="16"/>
        <v>13.420000000000002</v>
      </c>
      <c r="G73" s="423">
        <f t="shared" si="17"/>
        <v>0.53680000000000005</v>
      </c>
      <c r="H73" s="424">
        <v>12.78</v>
      </c>
      <c r="I73" s="425">
        <v>15</v>
      </c>
      <c r="J73" s="425">
        <v>15</v>
      </c>
      <c r="K73" s="425">
        <v>50.23</v>
      </c>
      <c r="L73" s="422">
        <f t="shared" si="18"/>
        <v>35.229999999999997</v>
      </c>
      <c r="M73" s="423">
        <f t="shared" si="19"/>
        <v>2.3486666666666665</v>
      </c>
    </row>
    <row r="74" spans="1:13" ht="15" x14ac:dyDescent="0.25">
      <c r="A74" s="419" t="s">
        <v>12</v>
      </c>
      <c r="B74" s="424">
        <v>0.09</v>
      </c>
      <c r="C74" s="425">
        <v>1</v>
      </c>
      <c r="D74" s="425"/>
      <c r="E74" s="425">
        <v>1</v>
      </c>
      <c r="F74" s="422">
        <f t="shared" si="16"/>
        <v>0</v>
      </c>
      <c r="G74" s="423">
        <f t="shared" si="17"/>
        <v>0</v>
      </c>
      <c r="H74" s="424">
        <v>0</v>
      </c>
      <c r="I74" s="425">
        <v>0</v>
      </c>
      <c r="J74" s="425">
        <v>0</v>
      </c>
      <c r="K74" s="425">
        <v>0</v>
      </c>
      <c r="L74" s="422">
        <f t="shared" si="18"/>
        <v>0</v>
      </c>
      <c r="M74" s="423" t="str">
        <f t="shared" si="19"/>
        <v>N/A</v>
      </c>
    </row>
    <row r="75" spans="1:13" ht="15" x14ac:dyDescent="0.25">
      <c r="A75" s="419" t="s">
        <v>525</v>
      </c>
      <c r="B75" s="424">
        <v>0</v>
      </c>
      <c r="C75" s="425">
        <v>0</v>
      </c>
      <c r="D75" s="425"/>
      <c r="E75" s="425">
        <v>0</v>
      </c>
      <c r="F75" s="422">
        <f t="shared" si="16"/>
        <v>0</v>
      </c>
      <c r="G75" s="423" t="str">
        <f t="shared" si="17"/>
        <v>N/A</v>
      </c>
      <c r="H75" s="424">
        <v>0</v>
      </c>
      <c r="I75" s="425">
        <v>0</v>
      </c>
      <c r="J75" s="425">
        <v>0</v>
      </c>
      <c r="K75" s="425">
        <v>0</v>
      </c>
      <c r="L75" s="422">
        <f t="shared" si="18"/>
        <v>0</v>
      </c>
      <c r="M75" s="423" t="str">
        <f t="shared" si="19"/>
        <v>N/A</v>
      </c>
    </row>
    <row r="76" spans="1:13" ht="15" x14ac:dyDescent="0.25">
      <c r="A76" s="426" t="s">
        <v>13</v>
      </c>
      <c r="B76" s="427">
        <v>24.6</v>
      </c>
      <c r="C76" s="428">
        <v>0</v>
      </c>
      <c r="D76" s="428">
        <v>19.36</v>
      </c>
      <c r="E76" s="428">
        <v>0</v>
      </c>
      <c r="F76" s="429">
        <f t="shared" si="16"/>
        <v>0</v>
      </c>
      <c r="G76" s="423" t="str">
        <f t="shared" si="17"/>
        <v>N/A</v>
      </c>
      <c r="H76" s="427">
        <v>0</v>
      </c>
      <c r="I76" s="428">
        <v>0</v>
      </c>
      <c r="J76" s="428">
        <v>0</v>
      </c>
      <c r="K76" s="428">
        <v>0</v>
      </c>
      <c r="L76" s="429">
        <f t="shared" si="18"/>
        <v>0</v>
      </c>
      <c r="M76" s="423" t="str">
        <f t="shared" si="19"/>
        <v>N/A</v>
      </c>
    </row>
    <row r="77" spans="1:13" ht="15" x14ac:dyDescent="0.25">
      <c r="A77" s="430" t="s">
        <v>527</v>
      </c>
      <c r="B77" s="431">
        <f>SUM(B67:B76)</f>
        <v>244.54</v>
      </c>
      <c r="C77" s="433">
        <f>SUM(C67:C76)</f>
        <v>248.48000000000002</v>
      </c>
      <c r="D77" s="433">
        <f>SUM(D67:D76)</f>
        <v>333.70699999999999</v>
      </c>
      <c r="E77" s="433">
        <f>SUM(E67:E76)</f>
        <v>256</v>
      </c>
      <c r="F77" s="448">
        <f t="shared" si="16"/>
        <v>7.5199999999999818</v>
      </c>
      <c r="G77" s="434">
        <f t="shared" si="17"/>
        <v>3.026400515131995E-2</v>
      </c>
      <c r="H77" s="431">
        <f>SUM(H67:H76)</f>
        <v>131.10999999999999</v>
      </c>
      <c r="I77" s="432">
        <f>SUM(I67:I76)</f>
        <v>106.46000000000001</v>
      </c>
      <c r="J77" s="432">
        <f>SUM(J67:J76)</f>
        <v>152.96</v>
      </c>
      <c r="K77" s="433">
        <f>SUM(K67:K76)</f>
        <v>145.69</v>
      </c>
      <c r="L77" s="448">
        <f t="shared" si="18"/>
        <v>39.22999999999999</v>
      </c>
      <c r="M77" s="434">
        <f t="shared" si="19"/>
        <v>0.3684952094683448</v>
      </c>
    </row>
    <row r="78" spans="1:13" ht="15" x14ac:dyDescent="0.25">
      <c r="A78" s="435" t="s">
        <v>30</v>
      </c>
      <c r="B78" s="436">
        <v>0</v>
      </c>
      <c r="C78" s="437">
        <v>4</v>
      </c>
      <c r="D78" s="437">
        <v>14.08</v>
      </c>
      <c r="E78" s="437">
        <v>5</v>
      </c>
      <c r="F78" s="438">
        <f t="shared" si="16"/>
        <v>1</v>
      </c>
      <c r="G78" s="439">
        <f t="shared" si="17"/>
        <v>0.25</v>
      </c>
      <c r="H78" s="436">
        <v>0</v>
      </c>
      <c r="I78" s="437">
        <v>0</v>
      </c>
      <c r="J78" s="437">
        <v>0</v>
      </c>
      <c r="K78" s="437">
        <v>0</v>
      </c>
      <c r="L78" s="438">
        <f t="shared" si="18"/>
        <v>0</v>
      </c>
      <c r="M78" s="439" t="str">
        <f t="shared" si="19"/>
        <v>N/A</v>
      </c>
    </row>
    <row r="79" spans="1:13" ht="15.6" thickBot="1" x14ac:dyDescent="0.3">
      <c r="A79" s="440" t="s">
        <v>528</v>
      </c>
      <c r="B79" s="441">
        <f>SUM(B77:B78)</f>
        <v>244.54</v>
      </c>
      <c r="C79" s="442">
        <f>SUM(C77:C78)</f>
        <v>252.48000000000002</v>
      </c>
      <c r="D79" s="442">
        <f>SUM(D77:D78)</f>
        <v>347.78699999999998</v>
      </c>
      <c r="E79" s="442">
        <f t="shared" ref="E79" si="20">SUM(E77:E78)</f>
        <v>261</v>
      </c>
      <c r="F79" s="443">
        <f t="shared" si="16"/>
        <v>8.5199999999999818</v>
      </c>
      <c r="G79" s="444">
        <f t="shared" si="17"/>
        <v>3.3745247148288901E-2</v>
      </c>
      <c r="H79" s="441">
        <f>SUM(H77:H78)</f>
        <v>131.10999999999999</v>
      </c>
      <c r="I79" s="442">
        <f>SUM(I77:I78)</f>
        <v>106.46000000000001</v>
      </c>
      <c r="J79" s="442">
        <f>SUM(J77:J78)</f>
        <v>152.96</v>
      </c>
      <c r="K79" s="442">
        <f t="shared" ref="K79" si="21">SUM(K77:K78)</f>
        <v>145.69</v>
      </c>
      <c r="L79" s="443">
        <f t="shared" si="18"/>
        <v>39.22999999999999</v>
      </c>
      <c r="M79" s="444">
        <f t="shared" si="19"/>
        <v>0.3684952094683448</v>
      </c>
    </row>
    <row r="80" spans="1:13" ht="15.6" thickTop="1" thickBot="1" x14ac:dyDescent="0.35">
      <c r="A80" s="894" t="s">
        <v>765</v>
      </c>
      <c r="B80" s="894"/>
      <c r="C80" s="894"/>
      <c r="D80" s="894"/>
      <c r="E80" s="894"/>
      <c r="F80" s="894"/>
      <c r="G80" s="894"/>
      <c r="H80" s="894"/>
      <c r="I80" s="894"/>
      <c r="J80" s="894"/>
      <c r="K80" s="894"/>
      <c r="L80" s="894"/>
      <c r="M80" s="894"/>
    </row>
    <row r="81" spans="1:13" ht="15" thickBot="1" x14ac:dyDescent="0.35">
      <c r="A81" s="460" t="s">
        <v>766</v>
      </c>
      <c r="B81" s="463"/>
      <c r="C81" s="463"/>
      <c r="D81" s="463"/>
      <c r="E81" s="464" t="s">
        <v>776</v>
      </c>
      <c r="F81" s="463"/>
      <c r="G81" s="453"/>
      <c r="H81" s="453"/>
      <c r="I81" s="453"/>
      <c r="J81" s="453"/>
      <c r="K81" s="453"/>
      <c r="L81" s="453"/>
      <c r="M81" s="454"/>
    </row>
    <row r="82" spans="1:13" ht="14.4" x14ac:dyDescent="0.3">
      <c r="A82" s="455"/>
      <c r="B82" s="445"/>
      <c r="C82" s="445"/>
      <c r="D82" s="445"/>
      <c r="E82" s="459"/>
      <c r="F82" s="445"/>
      <c r="G82" s="445"/>
      <c r="H82" s="445"/>
      <c r="I82" s="445"/>
      <c r="J82" s="445"/>
      <c r="K82" s="445"/>
      <c r="L82" s="445"/>
      <c r="M82" s="445"/>
    </row>
    <row r="83" spans="1:13" ht="14.4" x14ac:dyDescent="0.3">
      <c r="A83" s="465" t="s">
        <v>775</v>
      </c>
      <c r="B83" s="445"/>
      <c r="C83" s="445"/>
      <c r="D83" s="445"/>
      <c r="E83" s="445"/>
      <c r="F83" s="445"/>
      <c r="G83" s="445"/>
      <c r="H83" s="445"/>
      <c r="I83" s="445"/>
      <c r="J83" s="445"/>
      <c r="K83" s="445"/>
      <c r="L83" s="445"/>
      <c r="M83" s="445"/>
    </row>
    <row r="84" spans="1:13" ht="15.6" thickBot="1" x14ac:dyDescent="0.4">
      <c r="A84" s="888" t="s">
        <v>369</v>
      </c>
      <c r="B84" s="888"/>
      <c r="C84" s="888"/>
      <c r="D84" s="888"/>
      <c r="E84" s="888"/>
      <c r="F84" s="888"/>
      <c r="G84" s="888"/>
      <c r="H84" s="888"/>
      <c r="I84" s="888"/>
      <c r="J84" s="888"/>
      <c r="K84" s="888"/>
      <c r="L84" s="888"/>
      <c r="M84" s="888"/>
    </row>
    <row r="85" spans="1:13" ht="30" customHeight="1" thickTop="1" x14ac:dyDescent="0.35">
      <c r="A85" s="414"/>
      <c r="B85" s="889" t="s">
        <v>769</v>
      </c>
      <c r="C85" s="889"/>
      <c r="D85" s="889"/>
      <c r="E85" s="889"/>
      <c r="F85" s="889"/>
      <c r="G85" s="889"/>
      <c r="H85" s="889" t="s">
        <v>770</v>
      </c>
      <c r="I85" s="889"/>
      <c r="J85" s="889"/>
      <c r="K85" s="889"/>
      <c r="L85" s="889"/>
      <c r="M85" s="889"/>
    </row>
    <row r="86" spans="1:13" ht="51" customHeight="1" x14ac:dyDescent="0.35">
      <c r="A86" s="415"/>
      <c r="B86" s="895" t="s">
        <v>760</v>
      </c>
      <c r="C86" s="890" t="s">
        <v>761</v>
      </c>
      <c r="D86" s="890" t="s">
        <v>762</v>
      </c>
      <c r="E86" s="890" t="s">
        <v>26</v>
      </c>
      <c r="F86" s="892" t="s">
        <v>763</v>
      </c>
      <c r="G86" s="893"/>
      <c r="H86" s="895" t="s">
        <v>760</v>
      </c>
      <c r="I86" s="890" t="s">
        <v>761</v>
      </c>
      <c r="J86" s="890" t="s">
        <v>762</v>
      </c>
      <c r="K86" s="890" t="s">
        <v>26</v>
      </c>
      <c r="L86" s="892" t="s">
        <v>763</v>
      </c>
      <c r="M86" s="893"/>
    </row>
    <row r="87" spans="1:13" ht="15.6" thickBot="1" x14ac:dyDescent="0.4">
      <c r="A87" s="416"/>
      <c r="B87" s="896"/>
      <c r="C87" s="891"/>
      <c r="D87" s="891"/>
      <c r="E87" s="891"/>
      <c r="F87" s="417" t="s">
        <v>377</v>
      </c>
      <c r="G87" s="418" t="s">
        <v>378</v>
      </c>
      <c r="H87" s="896"/>
      <c r="I87" s="891"/>
      <c r="J87" s="891"/>
      <c r="K87" s="891"/>
      <c r="L87" s="417" t="s">
        <v>377</v>
      </c>
      <c r="M87" s="418" t="s">
        <v>378</v>
      </c>
    </row>
    <row r="88" spans="1:13" ht="15" x14ac:dyDescent="0.25">
      <c r="A88" s="419" t="s">
        <v>0</v>
      </c>
      <c r="B88" s="420">
        <v>39.950000000000003</v>
      </c>
      <c r="C88" s="421">
        <v>39.950000000000003</v>
      </c>
      <c r="D88" s="421">
        <v>39.950000000000003</v>
      </c>
      <c r="E88" s="421">
        <v>39.950000000000003</v>
      </c>
      <c r="F88" s="422">
        <f>E88-C88</f>
        <v>0</v>
      </c>
      <c r="G88" s="423">
        <f>IF(C88=0,"N/A",F88/C88)</f>
        <v>0</v>
      </c>
      <c r="H88" s="420">
        <v>79</v>
      </c>
      <c r="I88" s="421">
        <v>79</v>
      </c>
      <c r="J88" s="421">
        <v>79</v>
      </c>
      <c r="K88" s="421">
        <v>79</v>
      </c>
      <c r="L88" s="422">
        <f>K88-I88</f>
        <v>0</v>
      </c>
      <c r="M88" s="423">
        <f>IF(I88=0,"N/A",L88/I88)</f>
        <v>0</v>
      </c>
    </row>
    <row r="89" spans="1:13" ht="15" x14ac:dyDescent="0.25">
      <c r="A89" s="419" t="s">
        <v>1</v>
      </c>
      <c r="B89" s="424">
        <v>14.67</v>
      </c>
      <c r="C89" s="425">
        <v>14.05</v>
      </c>
      <c r="D89" s="425">
        <v>15.624000000000001</v>
      </c>
      <c r="E89" s="425">
        <v>14.05</v>
      </c>
      <c r="F89" s="422">
        <f t="shared" ref="F89:F97" si="22">E89-C89</f>
        <v>0</v>
      </c>
      <c r="G89" s="423">
        <f t="shared" ref="G89:G100" si="23">IF(C89=0,"N/A",F89/C89)</f>
        <v>0</v>
      </c>
      <c r="H89" s="424">
        <v>1007.13</v>
      </c>
      <c r="I89" s="425">
        <v>1015.57</v>
      </c>
      <c r="J89" s="425">
        <v>1015.57</v>
      </c>
      <c r="K89" s="425">
        <v>1150.78</v>
      </c>
      <c r="L89" s="422">
        <f t="shared" ref="L89:L100" si="24">K89-I89</f>
        <v>135.20999999999992</v>
      </c>
      <c r="M89" s="423">
        <f t="shared" ref="M89:M100" si="25">IF(I89=0,"N/A",L89/I89)</f>
        <v>0.13313705603749609</v>
      </c>
    </row>
    <row r="90" spans="1:13" ht="15" x14ac:dyDescent="0.25">
      <c r="A90" s="419" t="s">
        <v>2</v>
      </c>
      <c r="B90" s="424">
        <v>206.45</v>
      </c>
      <c r="C90" s="425">
        <v>190.95</v>
      </c>
      <c r="D90" s="425">
        <v>267.13</v>
      </c>
      <c r="E90" s="425">
        <v>231.75</v>
      </c>
      <c r="F90" s="422">
        <f t="shared" si="22"/>
        <v>40.800000000000011</v>
      </c>
      <c r="G90" s="423">
        <f t="shared" si="23"/>
        <v>0.21366849960722709</v>
      </c>
      <c r="H90" s="424">
        <v>164.59</v>
      </c>
      <c r="I90" s="425">
        <v>154.97999999999999</v>
      </c>
      <c r="J90" s="425">
        <v>167.42</v>
      </c>
      <c r="K90" s="425">
        <v>179.26</v>
      </c>
      <c r="L90" s="422">
        <f t="shared" si="24"/>
        <v>24.28</v>
      </c>
      <c r="M90" s="423">
        <f t="shared" si="25"/>
        <v>0.15666537617757131</v>
      </c>
    </row>
    <row r="91" spans="1:13" ht="15" x14ac:dyDescent="0.25">
      <c r="A91" s="419" t="s">
        <v>3</v>
      </c>
      <c r="B91" s="424">
        <v>0</v>
      </c>
      <c r="C91" s="425">
        <v>0</v>
      </c>
      <c r="D91" s="425">
        <v>0</v>
      </c>
      <c r="E91" s="425">
        <v>0</v>
      </c>
      <c r="F91" s="422">
        <f t="shared" si="22"/>
        <v>0</v>
      </c>
      <c r="G91" s="423" t="str">
        <f t="shared" si="23"/>
        <v>N/A</v>
      </c>
      <c r="H91" s="424">
        <v>23</v>
      </c>
      <c r="I91" s="425">
        <v>27</v>
      </c>
      <c r="J91" s="425">
        <v>23</v>
      </c>
      <c r="K91" s="425">
        <v>30</v>
      </c>
      <c r="L91" s="422">
        <f t="shared" si="24"/>
        <v>3</v>
      </c>
      <c r="M91" s="423">
        <f t="shared" si="25"/>
        <v>0.1111111111111111</v>
      </c>
    </row>
    <row r="92" spans="1:13" ht="15" x14ac:dyDescent="0.25">
      <c r="A92" s="419" t="s">
        <v>7</v>
      </c>
      <c r="B92" s="424">
        <v>340.13</v>
      </c>
      <c r="C92" s="425">
        <v>176.5</v>
      </c>
      <c r="D92" s="425">
        <v>206.17</v>
      </c>
      <c r="E92" s="425">
        <v>133.5</v>
      </c>
      <c r="F92" s="422">
        <f t="shared" si="22"/>
        <v>-43</v>
      </c>
      <c r="G92" s="423">
        <f t="shared" si="23"/>
        <v>-0.24362606232294617</v>
      </c>
      <c r="H92" s="424">
        <v>298.45</v>
      </c>
      <c r="I92" s="425">
        <v>203.35</v>
      </c>
      <c r="J92" s="425">
        <v>345.76</v>
      </c>
      <c r="K92" s="425">
        <v>226.81</v>
      </c>
      <c r="L92" s="422">
        <f t="shared" si="24"/>
        <v>23.460000000000008</v>
      </c>
      <c r="M92" s="423">
        <f t="shared" si="25"/>
        <v>0.11536759282026067</v>
      </c>
    </row>
    <row r="93" spans="1:13" ht="15" x14ac:dyDescent="0.25">
      <c r="A93" s="419" t="s">
        <v>8</v>
      </c>
      <c r="B93" s="424">
        <v>0.4</v>
      </c>
      <c r="C93" s="425">
        <v>0.4</v>
      </c>
      <c r="D93" s="425">
        <v>0.4</v>
      </c>
      <c r="E93" s="425">
        <v>0.4</v>
      </c>
      <c r="F93" s="422">
        <f t="shared" si="22"/>
        <v>0</v>
      </c>
      <c r="G93" s="423">
        <f t="shared" si="23"/>
        <v>0</v>
      </c>
      <c r="H93" s="424">
        <v>34.9</v>
      </c>
      <c r="I93" s="425">
        <v>30.94</v>
      </c>
      <c r="J93" s="425">
        <v>41.89</v>
      </c>
      <c r="K93" s="425">
        <v>30.94</v>
      </c>
      <c r="L93" s="422">
        <f t="shared" si="24"/>
        <v>0</v>
      </c>
      <c r="M93" s="423">
        <f t="shared" si="25"/>
        <v>0</v>
      </c>
    </row>
    <row r="94" spans="1:13" ht="16.2" x14ac:dyDescent="0.25">
      <c r="A94" s="419" t="s">
        <v>764</v>
      </c>
      <c r="B94" s="424">
        <v>4</v>
      </c>
      <c r="C94" s="425">
        <v>0</v>
      </c>
      <c r="D94" s="425">
        <v>4.9000000000000004</v>
      </c>
      <c r="E94" s="425">
        <v>10.050000000000001</v>
      </c>
      <c r="F94" s="422">
        <f t="shared" si="22"/>
        <v>10.050000000000001</v>
      </c>
      <c r="G94" s="423" t="str">
        <f t="shared" si="23"/>
        <v>N/A</v>
      </c>
      <c r="H94" s="424">
        <v>80.45</v>
      </c>
      <c r="I94" s="425">
        <v>197.6</v>
      </c>
      <c r="J94" s="425">
        <v>224.1</v>
      </c>
      <c r="K94" s="425">
        <v>380.04</v>
      </c>
      <c r="L94" s="422">
        <f t="shared" si="24"/>
        <v>182.44000000000003</v>
      </c>
      <c r="M94" s="423">
        <f t="shared" si="25"/>
        <v>0.92327935222672086</v>
      </c>
    </row>
    <row r="95" spans="1:13" ht="15" x14ac:dyDescent="0.25">
      <c r="A95" s="419" t="s">
        <v>12</v>
      </c>
      <c r="B95" s="424">
        <v>0.1</v>
      </c>
      <c r="C95" s="425">
        <v>0.1</v>
      </c>
      <c r="D95" s="425">
        <v>0.1</v>
      </c>
      <c r="E95" s="425">
        <v>0.1</v>
      </c>
      <c r="F95" s="422">
        <f>E95-C95</f>
        <v>0</v>
      </c>
      <c r="G95" s="423">
        <f t="shared" si="23"/>
        <v>0</v>
      </c>
      <c r="H95" s="424">
        <v>0.33</v>
      </c>
      <c r="I95" s="425">
        <v>0</v>
      </c>
      <c r="J95" s="425">
        <v>0</v>
      </c>
      <c r="K95" s="425">
        <v>0</v>
      </c>
      <c r="L95" s="422">
        <f t="shared" si="24"/>
        <v>0</v>
      </c>
      <c r="M95" s="423" t="str">
        <f t="shared" si="25"/>
        <v>N/A</v>
      </c>
    </row>
    <row r="96" spans="1:13" ht="15" x14ac:dyDescent="0.25">
      <c r="A96" s="419" t="s">
        <v>525</v>
      </c>
      <c r="B96" s="424">
        <v>0</v>
      </c>
      <c r="C96" s="425">
        <v>0</v>
      </c>
      <c r="D96" s="425">
        <v>0</v>
      </c>
      <c r="E96" s="425">
        <v>0</v>
      </c>
      <c r="F96" s="422">
        <f t="shared" si="22"/>
        <v>0</v>
      </c>
      <c r="G96" s="423" t="str">
        <f t="shared" si="23"/>
        <v>N/A</v>
      </c>
      <c r="H96" s="424">
        <v>0</v>
      </c>
      <c r="I96" s="425">
        <v>0</v>
      </c>
      <c r="J96" s="425">
        <v>0</v>
      </c>
      <c r="K96" s="425">
        <v>0</v>
      </c>
      <c r="L96" s="422">
        <f t="shared" si="24"/>
        <v>0</v>
      </c>
      <c r="M96" s="423" t="str">
        <f t="shared" si="25"/>
        <v>N/A</v>
      </c>
    </row>
    <row r="97" spans="1:13" ht="15" x14ac:dyDescent="0.25">
      <c r="A97" s="426" t="s">
        <v>13</v>
      </c>
      <c r="B97" s="427">
        <v>0</v>
      </c>
      <c r="C97" s="428">
        <v>0</v>
      </c>
      <c r="D97" s="428">
        <v>0</v>
      </c>
      <c r="E97" s="428">
        <v>0</v>
      </c>
      <c r="F97" s="429">
        <f t="shared" si="22"/>
        <v>0</v>
      </c>
      <c r="G97" s="423" t="str">
        <f t="shared" si="23"/>
        <v>N/A</v>
      </c>
      <c r="H97" s="427">
        <v>9.07</v>
      </c>
      <c r="I97" s="428">
        <v>1</v>
      </c>
      <c r="J97" s="428">
        <v>14.3</v>
      </c>
      <c r="K97" s="428">
        <v>1</v>
      </c>
      <c r="L97" s="429">
        <f t="shared" si="24"/>
        <v>0</v>
      </c>
      <c r="M97" s="423">
        <f t="shared" si="25"/>
        <v>0</v>
      </c>
    </row>
    <row r="98" spans="1:13" ht="15" x14ac:dyDescent="0.25">
      <c r="A98" s="430" t="s">
        <v>527</v>
      </c>
      <c r="B98" s="431">
        <f>SUM(B88:B97)</f>
        <v>605.70000000000005</v>
      </c>
      <c r="C98" s="433">
        <f>SUM(C88:C97)</f>
        <v>421.95</v>
      </c>
      <c r="D98" s="433">
        <f>SUM(D88:D97)</f>
        <v>534.274</v>
      </c>
      <c r="E98" s="433">
        <f>SUM(E88:E97)</f>
        <v>429.8</v>
      </c>
      <c r="F98" s="448">
        <f>E98-C98</f>
        <v>7.8500000000000227</v>
      </c>
      <c r="G98" s="434">
        <f t="shared" si="23"/>
        <v>1.8604100011849801E-2</v>
      </c>
      <c r="H98" s="431">
        <f>SUM(H88:H97)</f>
        <v>1696.92</v>
      </c>
      <c r="I98" s="433">
        <f>SUM(I88:I97)</f>
        <v>1709.44</v>
      </c>
      <c r="J98" s="433">
        <f>SUM(J88:J97)</f>
        <v>1911.0400000000002</v>
      </c>
      <c r="K98" s="433">
        <f>SUM(K88:K97)</f>
        <v>2077.83</v>
      </c>
      <c r="L98" s="448">
        <f t="shared" si="24"/>
        <v>368.38999999999987</v>
      </c>
      <c r="M98" s="434">
        <f t="shared" si="25"/>
        <v>0.21550332272557088</v>
      </c>
    </row>
    <row r="99" spans="1:13" ht="15" x14ac:dyDescent="0.25">
      <c r="A99" s="435" t="s">
        <v>30</v>
      </c>
      <c r="B99" s="436">
        <v>0</v>
      </c>
      <c r="C99" s="437">
        <v>2.5</v>
      </c>
      <c r="D99" s="437">
        <v>10.85</v>
      </c>
      <c r="E99" s="437">
        <v>2.5</v>
      </c>
      <c r="F99" s="438">
        <f t="shared" ref="F99:F100" si="26">E99-C99</f>
        <v>0</v>
      </c>
      <c r="G99" s="439">
        <f t="shared" si="23"/>
        <v>0</v>
      </c>
      <c r="H99" s="436">
        <v>0</v>
      </c>
      <c r="I99" s="437">
        <v>17.649999999999999</v>
      </c>
      <c r="J99" s="437">
        <v>17.649999999999999</v>
      </c>
      <c r="K99" s="437">
        <v>29.59</v>
      </c>
      <c r="L99" s="438">
        <f t="shared" si="24"/>
        <v>11.940000000000001</v>
      </c>
      <c r="M99" s="439">
        <f t="shared" si="25"/>
        <v>0.676487252124646</v>
      </c>
    </row>
    <row r="100" spans="1:13" ht="15.6" thickBot="1" x14ac:dyDescent="0.3">
      <c r="A100" s="440" t="s">
        <v>24</v>
      </c>
      <c r="B100" s="441">
        <f>SUM(B98:B99)</f>
        <v>605.70000000000005</v>
      </c>
      <c r="C100" s="442">
        <f>SUM(C98:C99)</f>
        <v>424.45</v>
      </c>
      <c r="D100" s="442">
        <f>SUM(D98:D99)</f>
        <v>545.12400000000002</v>
      </c>
      <c r="E100" s="442">
        <f t="shared" ref="E100" si="27">SUM(E98:E99)</f>
        <v>432.3</v>
      </c>
      <c r="F100" s="443">
        <f t="shared" si="26"/>
        <v>7.8500000000000227</v>
      </c>
      <c r="G100" s="444">
        <f t="shared" si="23"/>
        <v>1.8494522323006298E-2</v>
      </c>
      <c r="H100" s="441">
        <f>SUM(H98:H99)</f>
        <v>1696.92</v>
      </c>
      <c r="I100" s="442">
        <f>SUM(I98:I99)</f>
        <v>1727.0900000000001</v>
      </c>
      <c r="J100" s="442">
        <f>SUM(J98:J99)</f>
        <v>1928.6900000000003</v>
      </c>
      <c r="K100" s="442">
        <f t="shared" ref="K100" si="28">SUM(K98:K99)</f>
        <v>2107.42</v>
      </c>
      <c r="L100" s="443">
        <f t="shared" si="24"/>
        <v>380.32999999999993</v>
      </c>
      <c r="M100" s="444">
        <f t="shared" si="25"/>
        <v>0.22021434899165643</v>
      </c>
    </row>
    <row r="101" spans="1:13" ht="15.6" thickTop="1" x14ac:dyDescent="0.35">
      <c r="A101" s="456" t="s">
        <v>771</v>
      </c>
      <c r="B101" s="457"/>
      <c r="C101" s="457"/>
      <c r="D101" s="457"/>
      <c r="E101" s="457"/>
      <c r="F101" s="457"/>
      <c r="G101" s="457"/>
      <c r="H101" s="457"/>
      <c r="I101" s="457"/>
      <c r="J101" s="457"/>
      <c r="K101" s="457"/>
      <c r="L101" s="457"/>
      <c r="M101" s="457"/>
    </row>
  </sheetData>
  <mergeCells count="73">
    <mergeCell ref="A80:M80"/>
    <mergeCell ref="I65:I66"/>
    <mergeCell ref="J65:J66"/>
    <mergeCell ref="K65:K66"/>
    <mergeCell ref="H86:H87"/>
    <mergeCell ref="I86:I87"/>
    <mergeCell ref="J86:J87"/>
    <mergeCell ref="K86:K87"/>
    <mergeCell ref="L86:M86"/>
    <mergeCell ref="A84:M84"/>
    <mergeCell ref="B85:G85"/>
    <mergeCell ref="H85:M85"/>
    <mergeCell ref="B86:B87"/>
    <mergeCell ref="C86:C87"/>
    <mergeCell ref="D86:D87"/>
    <mergeCell ref="E86:E87"/>
    <mergeCell ref="A63:M63"/>
    <mergeCell ref="B64:G64"/>
    <mergeCell ref="H64:M64"/>
    <mergeCell ref="B65:B66"/>
    <mergeCell ref="C65:C66"/>
    <mergeCell ref="D65:D66"/>
    <mergeCell ref="E65:E66"/>
    <mergeCell ref="F65:G65"/>
    <mergeCell ref="H65:H66"/>
    <mergeCell ref="L65:M65"/>
    <mergeCell ref="F86:G86"/>
    <mergeCell ref="E22:I22"/>
    <mergeCell ref="A24:M24"/>
    <mergeCell ref="B25:G25"/>
    <mergeCell ref="H25:M25"/>
    <mergeCell ref="B26:B27"/>
    <mergeCell ref="C26:C27"/>
    <mergeCell ref="D26:D27"/>
    <mergeCell ref="E26:E27"/>
    <mergeCell ref="F26:G26"/>
    <mergeCell ref="H26:H27"/>
    <mergeCell ref="I26:I27"/>
    <mergeCell ref="J26:J27"/>
    <mergeCell ref="K26:K27"/>
    <mergeCell ref="L26:M26"/>
    <mergeCell ref="A60:M60"/>
    <mergeCell ref="B45:B46"/>
    <mergeCell ref="C45:C46"/>
    <mergeCell ref="D45:D46"/>
    <mergeCell ref="A41:M41"/>
    <mergeCell ref="A43:M43"/>
    <mergeCell ref="B44:G44"/>
    <mergeCell ref="H44:M44"/>
    <mergeCell ref="L45:M45"/>
    <mergeCell ref="E45:E46"/>
    <mergeCell ref="F45:G45"/>
    <mergeCell ref="H45:H46"/>
    <mergeCell ref="I45:I46"/>
    <mergeCell ref="J45:J46"/>
    <mergeCell ref="K45:K46"/>
    <mergeCell ref="I6:I7"/>
    <mergeCell ref="J6:J7"/>
    <mergeCell ref="K6:K7"/>
    <mergeCell ref="L6:M6"/>
    <mergeCell ref="A21:M21"/>
    <mergeCell ref="B6:B7"/>
    <mergeCell ref="C6:C7"/>
    <mergeCell ref="D6:D7"/>
    <mergeCell ref="E6:E7"/>
    <mergeCell ref="F6:G6"/>
    <mergeCell ref="H6:H7"/>
    <mergeCell ref="A1:M1"/>
    <mergeCell ref="A2:M2"/>
    <mergeCell ref="A3:M3"/>
    <mergeCell ref="A4:M4"/>
    <mergeCell ref="B5:G5"/>
    <mergeCell ref="H5:M5"/>
  </mergeCells>
  <conditionalFormatting sqref="F20">
    <cfRule type="cellIs" dxfId="12" priority="2" operator="lessThan">
      <formula>0</formula>
    </cfRule>
  </conditionalFormatting>
  <conditionalFormatting sqref="L20">
    <cfRule type="cellIs" dxfId="11" priority="1" operator="lessThan">
      <formula>0</formula>
    </cfRule>
  </conditionalFormatting>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04BB-94A1-4C06-B42F-8A0F9DC2BD0B}">
  <sheetPr>
    <tabColor theme="7" tint="0.79998168889431442"/>
  </sheetPr>
  <dimension ref="B1:N45"/>
  <sheetViews>
    <sheetView showGridLines="0" zoomScaleNormal="100" workbookViewId="0">
      <selection activeCell="K14" sqref="K14"/>
    </sheetView>
  </sheetViews>
  <sheetFormatPr defaultColWidth="8.6640625" defaultRowHeight="15" outlineLevelCol="1" x14ac:dyDescent="0.35"/>
  <cols>
    <col min="1" max="1" width="1.44140625" style="17" customWidth="1"/>
    <col min="2" max="2" width="80.6640625" style="17" customWidth="1"/>
    <col min="3" max="3" width="11.33203125" style="17" customWidth="1" outlineLevel="1"/>
    <col min="4" max="4" width="11.33203125" style="17" customWidth="1"/>
    <col min="5" max="7" width="11.33203125" style="17" customWidth="1" outlineLevel="1"/>
    <col min="8" max="10" width="11.33203125" style="17" customWidth="1"/>
    <col min="11" max="11" width="43.5546875" style="17" customWidth="1"/>
    <col min="12" max="12" width="13" style="17" customWidth="1"/>
    <col min="13" max="13" width="15" style="17" customWidth="1" outlineLevel="1"/>
    <col min="14" max="14" width="8.6640625" style="17" customWidth="1" outlineLevel="1"/>
    <col min="15" max="16384" width="8.6640625" style="17"/>
  </cols>
  <sheetData>
    <row r="1" spans="2:14" ht="17.25" customHeight="1" x14ac:dyDescent="0.35">
      <c r="B1" s="727" t="s">
        <v>569</v>
      </c>
      <c r="C1" s="727"/>
      <c r="D1" s="727"/>
      <c r="E1" s="727"/>
      <c r="F1" s="727"/>
      <c r="G1" s="727"/>
      <c r="H1" s="727"/>
      <c r="I1" s="727"/>
      <c r="J1" s="727"/>
      <c r="K1" s="727"/>
    </row>
    <row r="2" spans="2:14" ht="30.6" thickBot="1" x14ac:dyDescent="0.4">
      <c r="B2" s="762" t="s">
        <v>369</v>
      </c>
      <c r="C2" s="762"/>
      <c r="D2" s="762"/>
      <c r="E2" s="762"/>
      <c r="F2" s="762"/>
      <c r="G2" s="762"/>
      <c r="H2" s="762"/>
      <c r="I2" s="762"/>
      <c r="J2" s="762"/>
      <c r="K2" s="762"/>
      <c r="M2" s="491" t="s">
        <v>816</v>
      </c>
    </row>
    <row r="3" spans="2:14" ht="16.95" customHeight="1" thickBot="1" x14ac:dyDescent="0.4">
      <c r="B3" s="903"/>
      <c r="C3" s="914" t="s">
        <v>522</v>
      </c>
      <c r="D3" s="904" t="s">
        <v>25</v>
      </c>
      <c r="E3" s="30"/>
      <c r="F3" s="30"/>
      <c r="G3" s="30"/>
      <c r="H3" s="907" t="s">
        <v>578</v>
      </c>
      <c r="I3" s="875" t="s">
        <v>429</v>
      </c>
      <c r="J3" s="910"/>
      <c r="K3" s="911" t="s">
        <v>579</v>
      </c>
      <c r="L3" s="907" t="s">
        <v>905</v>
      </c>
      <c r="M3" s="907" t="s">
        <v>578</v>
      </c>
    </row>
    <row r="4" spans="2:14" ht="15.6" customHeight="1" x14ac:dyDescent="0.35">
      <c r="B4" s="763"/>
      <c r="C4" s="915"/>
      <c r="D4" s="905"/>
      <c r="E4" s="899" t="s">
        <v>26</v>
      </c>
      <c r="F4" s="899" t="s">
        <v>450</v>
      </c>
      <c r="G4" s="899" t="s">
        <v>451</v>
      </c>
      <c r="H4" s="908"/>
      <c r="I4" s="901" t="s">
        <v>372</v>
      </c>
      <c r="J4" s="902"/>
      <c r="K4" s="912"/>
      <c r="L4" s="908"/>
      <c r="M4" s="908"/>
    </row>
    <row r="5" spans="2:14" ht="15.6" thickBot="1" x14ac:dyDescent="0.4">
      <c r="B5" s="762"/>
      <c r="C5" s="916"/>
      <c r="D5" s="906"/>
      <c r="E5" s="900"/>
      <c r="F5" s="900"/>
      <c r="G5" s="900"/>
      <c r="H5" s="909"/>
      <c r="I5" s="268" t="s">
        <v>377</v>
      </c>
      <c r="J5" s="269" t="s">
        <v>378</v>
      </c>
      <c r="K5" s="913"/>
      <c r="L5" s="909"/>
      <c r="M5" s="909"/>
    </row>
    <row r="6" spans="2:14" x14ac:dyDescent="0.35">
      <c r="B6" s="258" t="s">
        <v>134</v>
      </c>
      <c r="C6" s="359">
        <v>18.503532</v>
      </c>
      <c r="D6" s="259">
        <v>18.5</v>
      </c>
      <c r="E6" s="280">
        <v>20.5</v>
      </c>
      <c r="F6" s="276">
        <v>19.25</v>
      </c>
      <c r="G6" s="275" t="s">
        <v>422</v>
      </c>
      <c r="H6" s="354">
        <v>19</v>
      </c>
      <c r="I6" s="265">
        <f t="shared" ref="I6:I29" si="0">IFERROR(H6-D6, "N/A")</f>
        <v>0.5</v>
      </c>
      <c r="J6" s="270">
        <f t="shared" ref="J6:J29" si="1">IFERROR(I6/D6, "N/A")</f>
        <v>2.7027027027027029E-2</v>
      </c>
      <c r="K6" s="356" t="s">
        <v>571</v>
      </c>
      <c r="L6" s="354">
        <v>0</v>
      </c>
      <c r="M6" s="354">
        <v>19</v>
      </c>
    </row>
    <row r="7" spans="2:14" x14ac:dyDescent="0.35">
      <c r="B7" s="260" t="s">
        <v>135</v>
      </c>
      <c r="C7" s="359">
        <v>74.999488999999997</v>
      </c>
      <c r="D7" s="259">
        <v>75</v>
      </c>
      <c r="E7" s="280">
        <v>75</v>
      </c>
      <c r="F7" s="276">
        <v>78</v>
      </c>
      <c r="G7" s="276">
        <v>75</v>
      </c>
      <c r="H7" s="259">
        <v>76</v>
      </c>
      <c r="I7" s="265">
        <f t="shared" si="0"/>
        <v>1</v>
      </c>
      <c r="J7" s="270">
        <f t="shared" si="1"/>
        <v>1.3333333333333334E-2</v>
      </c>
      <c r="K7" s="356" t="s">
        <v>573</v>
      </c>
      <c r="L7" s="259">
        <v>0</v>
      </c>
      <c r="M7" s="259">
        <v>76</v>
      </c>
    </row>
    <row r="8" spans="2:14" x14ac:dyDescent="0.35">
      <c r="B8" s="260" t="s">
        <v>83</v>
      </c>
      <c r="C8" s="359">
        <v>65.503758000000005</v>
      </c>
      <c r="D8" s="259">
        <v>65</v>
      </c>
      <c r="E8" s="280">
        <v>74.5</v>
      </c>
      <c r="F8" s="275" t="s">
        <v>422</v>
      </c>
      <c r="G8" s="276">
        <v>70</v>
      </c>
      <c r="H8" s="259">
        <v>70</v>
      </c>
      <c r="I8" s="265">
        <f t="shared" si="0"/>
        <v>5</v>
      </c>
      <c r="J8" s="270">
        <f t="shared" si="1"/>
        <v>7.6923076923076927E-2</v>
      </c>
      <c r="K8" s="356" t="s">
        <v>571</v>
      </c>
      <c r="L8" s="259">
        <v>0</v>
      </c>
      <c r="M8" s="259">
        <v>70</v>
      </c>
    </row>
    <row r="9" spans="2:14" x14ac:dyDescent="0.35">
      <c r="B9" s="472" t="s">
        <v>452</v>
      </c>
      <c r="C9" s="473">
        <v>8.5022400000000005</v>
      </c>
      <c r="D9" s="474">
        <v>8.5</v>
      </c>
      <c r="E9" s="475">
        <v>14</v>
      </c>
      <c r="F9" s="476">
        <v>10</v>
      </c>
      <c r="G9" s="476">
        <v>12</v>
      </c>
      <c r="H9" s="474">
        <v>9.5</v>
      </c>
      <c r="I9" s="477">
        <f t="shared" si="0"/>
        <v>1</v>
      </c>
      <c r="J9" s="478">
        <f t="shared" si="1"/>
        <v>0.11764705882352941</v>
      </c>
      <c r="K9" s="479" t="s">
        <v>571</v>
      </c>
      <c r="L9" s="474">
        <v>0</v>
      </c>
      <c r="M9" s="474">
        <v>9.5</v>
      </c>
    </row>
    <row r="10" spans="2:14" x14ac:dyDescent="0.35">
      <c r="B10" s="260" t="s">
        <v>85</v>
      </c>
      <c r="C10" s="359">
        <v>7.6128580000000001</v>
      </c>
      <c r="D10" s="259">
        <v>7.65</v>
      </c>
      <c r="E10" s="280">
        <v>19.59</v>
      </c>
      <c r="F10" s="275" t="s">
        <v>422</v>
      </c>
      <c r="G10" s="275" t="s">
        <v>422</v>
      </c>
      <c r="H10" s="354" t="s">
        <v>422</v>
      </c>
      <c r="I10" s="265" t="str">
        <f t="shared" si="0"/>
        <v>N/A</v>
      </c>
      <c r="J10" s="270" t="str">
        <f t="shared" si="1"/>
        <v>N/A</v>
      </c>
      <c r="K10" s="356" t="s">
        <v>422</v>
      </c>
      <c r="L10" s="354" t="s">
        <v>422</v>
      </c>
      <c r="M10" s="489">
        <v>19.59</v>
      </c>
    </row>
    <row r="11" spans="2:14" x14ac:dyDescent="0.35">
      <c r="B11" s="472" t="s">
        <v>453</v>
      </c>
      <c r="C11" s="473">
        <v>26.009938999999999</v>
      </c>
      <c r="D11" s="474">
        <v>26</v>
      </c>
      <c r="E11" s="475">
        <v>41</v>
      </c>
      <c r="F11" s="476">
        <v>28.51</v>
      </c>
      <c r="G11" s="476">
        <v>33</v>
      </c>
      <c r="H11" s="474">
        <v>27</v>
      </c>
      <c r="I11" s="477">
        <f t="shared" si="0"/>
        <v>1</v>
      </c>
      <c r="J11" s="478">
        <f t="shared" si="1"/>
        <v>3.8461538461538464E-2</v>
      </c>
      <c r="K11" s="479" t="s">
        <v>571</v>
      </c>
      <c r="L11" s="474">
        <v>0</v>
      </c>
      <c r="M11" s="474">
        <v>27</v>
      </c>
    </row>
    <row r="12" spans="2:14" x14ac:dyDescent="0.35">
      <c r="B12" s="260" t="s">
        <v>138</v>
      </c>
      <c r="C12" s="359">
        <v>10.039952</v>
      </c>
      <c r="D12" s="259">
        <v>10</v>
      </c>
      <c r="E12" s="280">
        <v>10</v>
      </c>
      <c r="F12" s="275" t="s">
        <v>422</v>
      </c>
      <c r="G12" s="275" t="s">
        <v>422</v>
      </c>
      <c r="H12" s="354" t="s">
        <v>422</v>
      </c>
      <c r="I12" s="265" t="str">
        <f t="shared" si="0"/>
        <v>N/A</v>
      </c>
      <c r="J12" s="270" t="str">
        <f t="shared" si="1"/>
        <v>N/A</v>
      </c>
      <c r="K12" s="356" t="s">
        <v>422</v>
      </c>
      <c r="L12" s="354" t="s">
        <v>422</v>
      </c>
      <c r="M12" s="489">
        <f>D12</f>
        <v>10</v>
      </c>
    </row>
    <row r="13" spans="2:14" x14ac:dyDescent="0.35">
      <c r="B13" s="260" t="s">
        <v>454</v>
      </c>
      <c r="C13" s="359">
        <v>62.995623999999999</v>
      </c>
      <c r="D13" s="259">
        <v>63</v>
      </c>
      <c r="E13" s="280">
        <v>75</v>
      </c>
      <c r="F13" s="276">
        <v>74</v>
      </c>
      <c r="G13" s="276">
        <v>0</v>
      </c>
      <c r="H13" s="259">
        <v>69</v>
      </c>
      <c r="I13" s="265">
        <f t="shared" si="0"/>
        <v>6</v>
      </c>
      <c r="J13" s="270">
        <f t="shared" si="1"/>
        <v>9.5238095238095233E-2</v>
      </c>
      <c r="K13" s="356" t="s">
        <v>574</v>
      </c>
      <c r="L13" s="259">
        <v>0</v>
      </c>
      <c r="M13" s="259">
        <f>69+6</f>
        <v>75</v>
      </c>
      <c r="N13" s="17" t="s">
        <v>817</v>
      </c>
    </row>
    <row r="14" spans="2:14" x14ac:dyDescent="0.35">
      <c r="B14" s="260" t="s">
        <v>104</v>
      </c>
      <c r="C14" s="359">
        <v>98.498244999999997</v>
      </c>
      <c r="D14" s="259">
        <v>98.5</v>
      </c>
      <c r="E14" s="280">
        <v>99.5</v>
      </c>
      <c r="F14" s="275" t="s">
        <v>422</v>
      </c>
      <c r="G14" s="275" t="s">
        <v>422</v>
      </c>
      <c r="H14" s="354" t="s">
        <v>422</v>
      </c>
      <c r="I14" s="265" t="str">
        <f t="shared" si="0"/>
        <v>N/A</v>
      </c>
      <c r="J14" s="270" t="str">
        <f t="shared" si="1"/>
        <v>N/A</v>
      </c>
      <c r="K14" s="356" t="s">
        <v>422</v>
      </c>
      <c r="L14" s="354" t="s">
        <v>422</v>
      </c>
      <c r="M14" s="489">
        <f t="shared" ref="M14:M16" si="2">D14</f>
        <v>98.5</v>
      </c>
    </row>
    <row r="15" spans="2:14" x14ac:dyDescent="0.35">
      <c r="B15" s="260" t="s">
        <v>455</v>
      </c>
      <c r="C15" s="359">
        <v>80.886831999999998</v>
      </c>
      <c r="D15" s="259">
        <v>80.91</v>
      </c>
      <c r="E15" s="280">
        <v>101.94</v>
      </c>
      <c r="F15" s="275" t="s">
        <v>422</v>
      </c>
      <c r="G15" s="275" t="s">
        <v>422</v>
      </c>
      <c r="H15" s="354" t="s">
        <v>422</v>
      </c>
      <c r="I15" s="265" t="str">
        <f t="shared" si="0"/>
        <v>N/A</v>
      </c>
      <c r="J15" s="270" t="str">
        <f t="shared" si="1"/>
        <v>N/A</v>
      </c>
      <c r="K15" s="356" t="s">
        <v>422</v>
      </c>
      <c r="L15" s="354" t="s">
        <v>422</v>
      </c>
      <c r="M15" s="489">
        <f t="shared" si="2"/>
        <v>80.91</v>
      </c>
    </row>
    <row r="16" spans="2:14" x14ac:dyDescent="0.35">
      <c r="B16" s="260" t="s">
        <v>456</v>
      </c>
      <c r="C16" s="359">
        <v>4.114776</v>
      </c>
      <c r="D16" s="259">
        <v>7.4</v>
      </c>
      <c r="E16" s="280">
        <v>7.64</v>
      </c>
      <c r="F16" s="275" t="s">
        <v>422</v>
      </c>
      <c r="G16" s="275" t="s">
        <v>422</v>
      </c>
      <c r="H16" s="354" t="s">
        <v>422</v>
      </c>
      <c r="I16" s="265" t="str">
        <f t="shared" si="0"/>
        <v>N/A</v>
      </c>
      <c r="J16" s="270" t="str">
        <f t="shared" si="1"/>
        <v>N/A</v>
      </c>
      <c r="K16" s="356" t="s">
        <v>422</v>
      </c>
      <c r="L16" s="354" t="s">
        <v>422</v>
      </c>
      <c r="M16" s="489">
        <f t="shared" si="2"/>
        <v>7.4</v>
      </c>
    </row>
    <row r="17" spans="2:14" x14ac:dyDescent="0.35">
      <c r="B17" s="260" t="s">
        <v>146</v>
      </c>
      <c r="C17" s="359">
        <v>290.00870700000002</v>
      </c>
      <c r="D17" s="259">
        <v>290</v>
      </c>
      <c r="E17" s="280">
        <v>355.51</v>
      </c>
      <c r="F17" s="276">
        <v>320</v>
      </c>
      <c r="G17" s="276">
        <v>355</v>
      </c>
      <c r="H17" s="259">
        <v>325</v>
      </c>
      <c r="I17" s="265">
        <f t="shared" si="0"/>
        <v>35</v>
      </c>
      <c r="J17" s="270">
        <f t="shared" si="1"/>
        <v>0.1206896551724138</v>
      </c>
      <c r="K17" s="356" t="s">
        <v>570</v>
      </c>
      <c r="L17" s="259">
        <v>0</v>
      </c>
      <c r="M17" s="259">
        <v>325</v>
      </c>
    </row>
    <row r="18" spans="2:14" x14ac:dyDescent="0.35">
      <c r="B18" s="472" t="s">
        <v>457</v>
      </c>
      <c r="C18" s="473">
        <v>48.501797000000003</v>
      </c>
      <c r="D18" s="474">
        <v>48.5</v>
      </c>
      <c r="E18" s="475">
        <v>60.5</v>
      </c>
      <c r="F18" s="476">
        <v>60</v>
      </c>
      <c r="G18" s="476">
        <v>55</v>
      </c>
      <c r="H18" s="474">
        <v>53.5</v>
      </c>
      <c r="I18" s="477">
        <f t="shared" si="0"/>
        <v>5</v>
      </c>
      <c r="J18" s="478">
        <f t="shared" si="1"/>
        <v>0.10309278350515463</v>
      </c>
      <c r="K18" s="479" t="s">
        <v>573</v>
      </c>
      <c r="L18" s="474">
        <v>0</v>
      </c>
      <c r="M18" s="474">
        <v>53.5</v>
      </c>
    </row>
    <row r="19" spans="2:14" x14ac:dyDescent="0.35">
      <c r="B19" s="472" t="s">
        <v>458</v>
      </c>
      <c r="C19" s="473">
        <v>38.014525999999996</v>
      </c>
      <c r="D19" s="474">
        <v>38</v>
      </c>
      <c r="E19" s="475">
        <v>48.5</v>
      </c>
      <c r="F19" s="476">
        <v>45.5</v>
      </c>
      <c r="G19" s="476">
        <v>46.5</v>
      </c>
      <c r="H19" s="474">
        <v>43</v>
      </c>
      <c r="I19" s="477">
        <f t="shared" si="0"/>
        <v>5</v>
      </c>
      <c r="J19" s="478">
        <f t="shared" si="1"/>
        <v>0.13157894736842105</v>
      </c>
      <c r="K19" s="479" t="s">
        <v>571</v>
      </c>
      <c r="L19" s="474">
        <v>0</v>
      </c>
      <c r="M19" s="474">
        <v>43</v>
      </c>
    </row>
    <row r="20" spans="2:14" x14ac:dyDescent="0.35">
      <c r="B20" s="260" t="s">
        <v>113</v>
      </c>
      <c r="C20" s="359">
        <v>93.483013999999997</v>
      </c>
      <c r="D20" s="259">
        <v>93.5</v>
      </c>
      <c r="E20" s="280">
        <v>95.5</v>
      </c>
      <c r="F20" s="276" t="s">
        <v>422</v>
      </c>
      <c r="G20" s="276" t="s">
        <v>422</v>
      </c>
      <c r="H20" s="259" t="s">
        <v>422</v>
      </c>
      <c r="I20" s="265" t="str">
        <f t="shared" si="0"/>
        <v>N/A</v>
      </c>
      <c r="J20" s="270" t="str">
        <f t="shared" si="1"/>
        <v>N/A</v>
      </c>
      <c r="K20" s="356" t="s">
        <v>422</v>
      </c>
      <c r="L20" s="259" t="s">
        <v>422</v>
      </c>
      <c r="M20" s="489">
        <f>D20</f>
        <v>93.5</v>
      </c>
    </row>
    <row r="21" spans="2:14" x14ac:dyDescent="0.35">
      <c r="B21" s="472" t="s">
        <v>149</v>
      </c>
      <c r="C21" s="473">
        <v>51.519632000000001</v>
      </c>
      <c r="D21" s="474">
        <v>51.5</v>
      </c>
      <c r="E21" s="475">
        <v>70.5</v>
      </c>
      <c r="F21" s="476">
        <v>57</v>
      </c>
      <c r="G21" s="476">
        <v>69.5</v>
      </c>
      <c r="H21" s="474">
        <v>55.5</v>
      </c>
      <c r="I21" s="477">
        <f t="shared" si="0"/>
        <v>4</v>
      </c>
      <c r="J21" s="478">
        <f t="shared" si="1"/>
        <v>7.7669902912621352E-2</v>
      </c>
      <c r="K21" s="479" t="s">
        <v>571</v>
      </c>
      <c r="L21" s="474">
        <v>0</v>
      </c>
      <c r="M21" s="474">
        <v>55.5</v>
      </c>
    </row>
    <row r="22" spans="2:14" x14ac:dyDescent="0.35">
      <c r="B22" s="472" t="s">
        <v>572</v>
      </c>
      <c r="C22" s="473">
        <v>23.006474999999998</v>
      </c>
      <c r="D22" s="474">
        <v>23</v>
      </c>
      <c r="E22" s="475">
        <v>50.5</v>
      </c>
      <c r="F22" s="476">
        <v>30.5</v>
      </c>
      <c r="G22" s="476">
        <v>46.5</v>
      </c>
      <c r="H22" s="474">
        <v>24</v>
      </c>
      <c r="I22" s="477">
        <f t="shared" si="0"/>
        <v>1</v>
      </c>
      <c r="J22" s="478">
        <f t="shared" si="1"/>
        <v>4.3478260869565216E-2</v>
      </c>
      <c r="K22" s="479" t="s">
        <v>571</v>
      </c>
      <c r="L22" s="474">
        <v>0</v>
      </c>
      <c r="M22" s="474">
        <v>24</v>
      </c>
    </row>
    <row r="23" spans="2:14" x14ac:dyDescent="0.35">
      <c r="B23" s="260" t="s">
        <v>152</v>
      </c>
      <c r="C23" s="359">
        <v>59.997826000000003</v>
      </c>
      <c r="D23" s="259">
        <v>60</v>
      </c>
      <c r="E23" s="280">
        <v>62.5</v>
      </c>
      <c r="F23" s="275" t="s">
        <v>422</v>
      </c>
      <c r="G23" s="275" t="s">
        <v>422</v>
      </c>
      <c r="H23" s="354" t="s">
        <v>422</v>
      </c>
      <c r="I23" s="265" t="str">
        <f t="shared" si="0"/>
        <v>N/A</v>
      </c>
      <c r="J23" s="270" t="str">
        <f t="shared" si="1"/>
        <v>N/A</v>
      </c>
      <c r="K23" s="356" t="s">
        <v>422</v>
      </c>
      <c r="L23" s="354" t="s">
        <v>422</v>
      </c>
      <c r="M23" s="489">
        <f>D23</f>
        <v>60</v>
      </c>
    </row>
    <row r="24" spans="2:14" x14ac:dyDescent="0.35">
      <c r="B24" s="260" t="s">
        <v>734</v>
      </c>
      <c r="C24" s="359">
        <v>66.997625999999997</v>
      </c>
      <c r="D24" s="259">
        <v>67</v>
      </c>
      <c r="E24" s="280">
        <v>67</v>
      </c>
      <c r="F24" s="276">
        <v>68</v>
      </c>
      <c r="G24" s="275" t="s">
        <v>422</v>
      </c>
      <c r="H24" s="354">
        <v>68</v>
      </c>
      <c r="I24" s="265">
        <f t="shared" si="0"/>
        <v>1</v>
      </c>
      <c r="J24" s="270">
        <f t="shared" si="1"/>
        <v>1.4925373134328358E-2</v>
      </c>
      <c r="K24" s="356" t="s">
        <v>571</v>
      </c>
      <c r="L24" s="354">
        <v>0</v>
      </c>
      <c r="M24" s="354">
        <v>68</v>
      </c>
    </row>
    <row r="25" spans="2:14" x14ac:dyDescent="0.35">
      <c r="B25" s="260" t="s">
        <v>459</v>
      </c>
      <c r="C25" s="359">
        <v>0</v>
      </c>
      <c r="D25" s="259">
        <v>0</v>
      </c>
      <c r="E25" s="280">
        <v>5</v>
      </c>
      <c r="F25" s="275" t="s">
        <v>422</v>
      </c>
      <c r="G25" s="275" t="s">
        <v>422</v>
      </c>
      <c r="H25" s="354" t="s">
        <v>422</v>
      </c>
      <c r="I25" s="265" t="str">
        <f t="shared" si="0"/>
        <v>N/A</v>
      </c>
      <c r="J25" s="270" t="str">
        <f t="shared" si="1"/>
        <v>N/A</v>
      </c>
      <c r="K25" s="356" t="s">
        <v>422</v>
      </c>
      <c r="L25" s="354" t="s">
        <v>422</v>
      </c>
      <c r="M25" s="354">
        <v>5</v>
      </c>
    </row>
    <row r="26" spans="2:14" ht="15.75" customHeight="1" x14ac:dyDescent="0.35">
      <c r="B26" s="480" t="s">
        <v>460</v>
      </c>
      <c r="C26" s="481">
        <v>17.503855999999999</v>
      </c>
      <c r="D26" s="482">
        <v>17.5</v>
      </c>
      <c r="E26" s="483">
        <v>23</v>
      </c>
      <c r="F26" s="484">
        <v>19</v>
      </c>
      <c r="G26" s="484">
        <v>22</v>
      </c>
      <c r="H26" s="482">
        <v>20</v>
      </c>
      <c r="I26" s="485">
        <f t="shared" si="0"/>
        <v>2.5</v>
      </c>
      <c r="J26" s="486">
        <f t="shared" si="1"/>
        <v>0.14285714285714285</v>
      </c>
      <c r="K26" s="487" t="s">
        <v>571</v>
      </c>
      <c r="L26" s="482">
        <v>0</v>
      </c>
      <c r="M26" s="482">
        <v>20</v>
      </c>
    </row>
    <row r="27" spans="2:14" x14ac:dyDescent="0.35">
      <c r="B27" s="274" t="s">
        <v>576</v>
      </c>
      <c r="C27" s="360">
        <f t="shared" ref="C27" si="3">SUM(C6:C9,C11,C13,C17:C19,C21:C22,C24,C26)</f>
        <v>792.06720100000007</v>
      </c>
      <c r="D27" s="264">
        <f>SUM(D6:D9,D11,D13,D17:D19,D21:D22,D24,D26)</f>
        <v>791.5</v>
      </c>
      <c r="E27" s="352">
        <f>SUM(E6:E9,E11,E13,E17:E19,E21:E22,E24,E26)</f>
        <v>975.51</v>
      </c>
      <c r="F27" s="277">
        <f>SUM(F6:F9,F11,F13,F17:F19,F21:F22,F24,F26)</f>
        <v>809.76</v>
      </c>
      <c r="G27" s="261">
        <f>SUM(G6:G9,G11,G13,G17:G19,G21:G22,G24,G26)</f>
        <v>784.5</v>
      </c>
      <c r="H27" s="355">
        <f>SUM(H6:H9,H11,H13,H17:H19,H21:H22,H24,H26)</f>
        <v>859.5</v>
      </c>
      <c r="I27" s="312">
        <f>IFERROR(H27-D27, "N/A")</f>
        <v>68</v>
      </c>
      <c r="J27" s="271">
        <f t="shared" si="1"/>
        <v>8.5912823752368916E-2</v>
      </c>
      <c r="K27" s="357"/>
      <c r="L27" s="355">
        <f>SUM(L6:L9,L11,L13,L17:L19,L21:L22,L24,L26)</f>
        <v>0</v>
      </c>
      <c r="M27" s="355">
        <f>SUM(M6:M26)</f>
        <v>1240.4000000000001</v>
      </c>
      <c r="N27" s="17" t="s">
        <v>814</v>
      </c>
    </row>
    <row r="28" spans="2:14" x14ac:dyDescent="0.35">
      <c r="B28" s="274" t="s">
        <v>577</v>
      </c>
      <c r="C28" s="361">
        <f>C29-C27</f>
        <v>354.65358900000001</v>
      </c>
      <c r="D28" s="262">
        <f>D29-D27</f>
        <v>357.96000000000004</v>
      </c>
      <c r="E28" s="353">
        <f t="shared" ref="E28:G28" si="4">E29-E27</f>
        <v>401.66999999999985</v>
      </c>
      <c r="F28" s="278">
        <f t="shared" si="4"/>
        <v>440.24</v>
      </c>
      <c r="G28" s="263">
        <f t="shared" si="4"/>
        <v>542.68000000000006</v>
      </c>
      <c r="H28" s="262">
        <f>H29-H27</f>
        <v>386.5</v>
      </c>
      <c r="I28" s="266">
        <f>IFERROR(H28-D28, "N/A")</f>
        <v>28.539999999999964</v>
      </c>
      <c r="J28" s="273">
        <f>IFERROR(I28/D28, "N/A")</f>
        <v>7.972957872387966E-2</v>
      </c>
      <c r="K28" s="357"/>
      <c r="L28" s="262">
        <v>0</v>
      </c>
      <c r="M28" s="490">
        <f>M29-M27</f>
        <v>5.5999999999999091</v>
      </c>
      <c r="N28" s="17" t="s">
        <v>815</v>
      </c>
    </row>
    <row r="29" spans="2:14" ht="15.6" thickBot="1" x14ac:dyDescent="0.4">
      <c r="B29" s="208" t="s">
        <v>461</v>
      </c>
      <c r="C29" s="362">
        <v>1146.7207900000001</v>
      </c>
      <c r="D29" s="209">
        <v>1149.46</v>
      </c>
      <c r="E29" s="281">
        <v>1377.1799999999998</v>
      </c>
      <c r="F29" s="279">
        <v>1250</v>
      </c>
      <c r="G29" s="279">
        <v>1327.18</v>
      </c>
      <c r="H29" s="209">
        <v>1246</v>
      </c>
      <c r="I29" s="267">
        <f t="shared" si="0"/>
        <v>96.539999999999964</v>
      </c>
      <c r="J29" s="272">
        <f t="shared" si="1"/>
        <v>8.3987263584639704E-2</v>
      </c>
      <c r="K29" s="358"/>
      <c r="L29" s="209">
        <v>0</v>
      </c>
      <c r="M29" s="209">
        <v>1246</v>
      </c>
    </row>
    <row r="30" spans="2:14" x14ac:dyDescent="0.35">
      <c r="B30" s="898" t="s">
        <v>575</v>
      </c>
      <c r="C30" s="898"/>
      <c r="D30" s="898"/>
      <c r="E30" s="898"/>
      <c r="F30" s="898"/>
      <c r="G30" s="898"/>
      <c r="H30" s="898"/>
      <c r="I30" s="898"/>
    </row>
    <row r="35" spans="2:9" x14ac:dyDescent="0.35">
      <c r="B35" s="325" t="s">
        <v>667</v>
      </c>
      <c r="C35" s="325"/>
      <c r="D35" s="325"/>
      <c r="E35" s="325"/>
      <c r="F35" s="325"/>
      <c r="G35" s="325"/>
      <c r="H35" s="325"/>
      <c r="I35" s="326">
        <f>I27-I17</f>
        <v>33</v>
      </c>
    </row>
    <row r="45" spans="2:9" x14ac:dyDescent="0.35">
      <c r="B45" s="17" t="s">
        <v>462</v>
      </c>
    </row>
  </sheetData>
  <mergeCells count="15">
    <mergeCell ref="M3:M5"/>
    <mergeCell ref="K3:K5"/>
    <mergeCell ref="C3:C5"/>
    <mergeCell ref="B1:K1"/>
    <mergeCell ref="B2:K2"/>
    <mergeCell ref="L3:L5"/>
    <mergeCell ref="B30:I30"/>
    <mergeCell ref="E4:E5"/>
    <mergeCell ref="F4:F5"/>
    <mergeCell ref="G4:G5"/>
    <mergeCell ref="I4:J4"/>
    <mergeCell ref="B3:B5"/>
    <mergeCell ref="D3:D5"/>
    <mergeCell ref="H3:H5"/>
    <mergeCell ref="I3:J3"/>
  </mergeCells>
  <conditionalFormatting sqref="E6:H29">
    <cfRule type="containsText" dxfId="10" priority="9" operator="containsText" text="N/A">
      <formula>NOT(ISERROR(SEARCH("N/A",E6)))</formula>
    </cfRule>
  </conditionalFormatting>
  <conditionalFormatting sqref="K6:K26">
    <cfRule type="containsText" dxfId="9" priority="8" operator="containsText" text="N/A">
      <formula>NOT(ISERROR(SEARCH("N/A",K6)))</formula>
    </cfRule>
  </conditionalFormatting>
  <conditionalFormatting sqref="C27:D27">
    <cfRule type="containsText" dxfId="8" priority="7" operator="containsText" text="N/A">
      <formula>NOT(ISERROR(SEARCH("N/A",C27)))</formula>
    </cfRule>
  </conditionalFormatting>
  <conditionalFormatting sqref="I27">
    <cfRule type="containsText" dxfId="7" priority="6" operator="containsText" text="N/A">
      <formula>NOT(ISERROR(SEARCH("N/A",I27)))</formula>
    </cfRule>
  </conditionalFormatting>
  <conditionalFormatting sqref="I6:J29">
    <cfRule type="containsText" dxfId="6" priority="5" operator="containsText" text="N/A">
      <formula>NOT(ISERROR(SEARCH("N/A",I6)))</formula>
    </cfRule>
  </conditionalFormatting>
  <conditionalFormatting sqref="M6:M29">
    <cfRule type="containsText" dxfId="5" priority="2" operator="containsText" text="N/A">
      <formula>NOT(ISERROR(SEARCH("N/A",M6)))</formula>
    </cfRule>
  </conditionalFormatting>
  <conditionalFormatting sqref="L6:L29">
    <cfRule type="containsText" dxfId="4" priority="1" operator="containsText" text="N/A">
      <formula>NOT(ISERROR(SEARCH("N/A",L6)))</formula>
    </cfRule>
  </conditionalFormatting>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6449-DCE9-4387-A483-34AD1C2B6F29}">
  <sheetPr>
    <tabColor theme="7" tint="0.79998168889431442"/>
  </sheetPr>
  <dimension ref="A1:M10"/>
  <sheetViews>
    <sheetView showGridLines="0" workbookViewId="0">
      <selection activeCell="A10" sqref="A10:L10"/>
    </sheetView>
  </sheetViews>
  <sheetFormatPr defaultRowHeight="14.4" x14ac:dyDescent="0.3"/>
  <cols>
    <col min="9" max="9" width="7.44140625" customWidth="1"/>
    <col min="10" max="10" width="5.5546875" customWidth="1"/>
    <col min="11" max="11" width="15.33203125" customWidth="1"/>
    <col min="13" max="13" width="9.6640625" customWidth="1"/>
    <col min="14" max="14" width="14.33203125" customWidth="1"/>
  </cols>
  <sheetData>
    <row r="1" spans="1:13" ht="22.35" customHeight="1" x14ac:dyDescent="0.3">
      <c r="A1" s="405" t="s">
        <v>733</v>
      </c>
      <c r="B1" s="405"/>
      <c r="C1" s="405"/>
    </row>
    <row r="2" spans="1:13" ht="63.6" customHeight="1" x14ac:dyDescent="0.3">
      <c r="A2" s="917" t="s">
        <v>732</v>
      </c>
      <c r="B2" s="917"/>
      <c r="C2" s="917"/>
      <c r="D2" s="917"/>
      <c r="E2" s="917"/>
      <c r="F2" s="917"/>
      <c r="G2" s="917"/>
      <c r="H2" s="917"/>
      <c r="I2" s="917"/>
      <c r="J2" s="917"/>
      <c r="K2" s="917"/>
      <c r="L2" s="917"/>
    </row>
    <row r="4" spans="1:13" x14ac:dyDescent="0.3">
      <c r="A4" s="406" t="s">
        <v>726</v>
      </c>
      <c r="K4" s="918">
        <f>6381136000+640000000</f>
        <v>7021136000</v>
      </c>
      <c r="M4" t="s">
        <v>560</v>
      </c>
    </row>
    <row r="5" spans="1:13" x14ac:dyDescent="0.3">
      <c r="A5" s="406" t="s">
        <v>727</v>
      </c>
      <c r="K5" s="918"/>
    </row>
    <row r="6" spans="1:13" x14ac:dyDescent="0.3">
      <c r="A6" s="406" t="s">
        <v>728</v>
      </c>
      <c r="K6" s="918">
        <f>2500000+608162000+210000000</f>
        <v>820662000</v>
      </c>
    </row>
    <row r="7" spans="1:13" x14ac:dyDescent="0.3">
      <c r="A7" s="406" t="s">
        <v>729</v>
      </c>
      <c r="K7" s="918"/>
    </row>
    <row r="8" spans="1:13" x14ac:dyDescent="0.3">
      <c r="A8" s="406" t="s">
        <v>730</v>
      </c>
      <c r="K8" s="918"/>
    </row>
    <row r="10" spans="1:13" ht="42.6" customHeight="1" x14ac:dyDescent="0.3">
      <c r="A10" s="917" t="s">
        <v>731</v>
      </c>
      <c r="B10" s="917"/>
      <c r="C10" s="917"/>
      <c r="D10" s="917"/>
      <c r="E10" s="917"/>
      <c r="F10" s="917"/>
      <c r="G10" s="917"/>
      <c r="H10" s="917"/>
      <c r="I10" s="917"/>
      <c r="J10" s="917"/>
      <c r="K10" s="917"/>
      <c r="L10" s="917"/>
    </row>
  </sheetData>
  <mergeCells count="4">
    <mergeCell ref="A10:L10"/>
    <mergeCell ref="A2:L2"/>
    <mergeCell ref="K4:K5"/>
    <mergeCell ref="K6:K8"/>
  </mergeCells>
  <pageMargins left="0.7" right="0.7" top="0.75" bottom="0.75" header="0.3" footer="0.3"/>
  <pageSetup orientation="portrait" r:id="rId1"/>
  <headerFooter differentFirst="1">
    <oddHeader>&amp;C&amp;"Microsoft Sans Serif,Bold"CUI//SP-BUDG</oddHeader>
    <firstHeader>&amp;C&amp;"Microsoft Sans Serif,Bold"CUI//SP-BUDG</firstHeader>
    <firstFooter>&amp;LCUI Contact: cui@nsf.gov</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9933-4F1C-433A-B113-C2EE581EB0E3}">
  <sheetPr>
    <tabColor theme="7" tint="0.79998168889431442"/>
  </sheetPr>
  <dimension ref="B1:H10"/>
  <sheetViews>
    <sheetView showGridLines="0" zoomScale="140" zoomScaleNormal="140" workbookViewId="0">
      <selection activeCell="F13" sqref="F13"/>
    </sheetView>
  </sheetViews>
  <sheetFormatPr defaultColWidth="8.6640625" defaultRowHeight="15" outlineLevelCol="1" x14ac:dyDescent="0.35"/>
  <cols>
    <col min="1" max="1" width="2.6640625" style="17" customWidth="1"/>
    <col min="2" max="2" width="44.44140625" style="17" bestFit="1" customWidth="1"/>
    <col min="3" max="5" width="12.5546875" style="17" customWidth="1" outlineLevel="1"/>
    <col min="6" max="8" width="12.6640625" style="17" customWidth="1"/>
    <col min="9" max="16384" width="8.6640625" style="17"/>
  </cols>
  <sheetData>
    <row r="1" spans="2:8" x14ac:dyDescent="0.35">
      <c r="B1" s="727" t="s">
        <v>487</v>
      </c>
      <c r="C1" s="727"/>
      <c r="D1" s="727"/>
      <c r="E1" s="727"/>
      <c r="F1" s="727"/>
      <c r="G1" s="727"/>
      <c r="H1" s="727"/>
    </row>
    <row r="2" spans="2:8" ht="15.6" thickBot="1" x14ac:dyDescent="0.4">
      <c r="B2" s="762" t="s">
        <v>369</v>
      </c>
      <c r="C2" s="762"/>
      <c r="D2" s="762"/>
      <c r="E2" s="762"/>
      <c r="F2" s="762"/>
      <c r="G2" s="762"/>
      <c r="H2" s="762"/>
    </row>
    <row r="3" spans="2:8" ht="16.2" x14ac:dyDescent="0.35">
      <c r="B3" s="184"/>
      <c r="C3" s="923" t="s">
        <v>486</v>
      </c>
      <c r="D3" s="924"/>
      <c r="E3" s="925"/>
      <c r="F3" s="919" t="s">
        <v>679</v>
      </c>
      <c r="G3" s="920"/>
      <c r="H3" s="921"/>
    </row>
    <row r="4" spans="2:8" ht="46.2" x14ac:dyDescent="0.35">
      <c r="B4" s="185"/>
      <c r="C4" s="190" t="s">
        <v>485</v>
      </c>
      <c r="D4" s="191" t="s">
        <v>484</v>
      </c>
      <c r="E4" s="192" t="s">
        <v>677</v>
      </c>
      <c r="F4" s="330" t="s">
        <v>678</v>
      </c>
      <c r="G4" s="331" t="s">
        <v>484</v>
      </c>
      <c r="H4" s="332" t="s">
        <v>677</v>
      </c>
    </row>
    <row r="5" spans="2:8" x14ac:dyDescent="0.35">
      <c r="B5" s="186" t="s">
        <v>19</v>
      </c>
      <c r="C5" s="193">
        <v>7159.4</v>
      </c>
      <c r="D5" s="194">
        <f>C5*0.1</f>
        <v>715.94</v>
      </c>
      <c r="E5" s="195">
        <f>C5*0.05</f>
        <v>357.97</v>
      </c>
      <c r="F5" s="333">
        <v>7629.2979999999998</v>
      </c>
      <c r="G5" s="334">
        <f>F5*0.1</f>
        <v>762.9298</v>
      </c>
      <c r="H5" s="335">
        <f>F5*0.05</f>
        <v>381.4649</v>
      </c>
    </row>
    <row r="6" spans="2:8" x14ac:dyDescent="0.35">
      <c r="B6" s="186" t="s">
        <v>20</v>
      </c>
      <c r="C6" s="193">
        <v>1006</v>
      </c>
      <c r="D6" s="26">
        <f>C6*0.1</f>
        <v>100.60000000000001</v>
      </c>
      <c r="E6" s="196">
        <f>C6*0.05</f>
        <v>50.300000000000004</v>
      </c>
      <c r="F6" s="333">
        <v>1246</v>
      </c>
      <c r="G6" s="336">
        <f>F6*0.1</f>
        <v>124.60000000000001</v>
      </c>
      <c r="H6" s="337">
        <f>F6*0.05</f>
        <v>62.300000000000004</v>
      </c>
    </row>
    <row r="7" spans="2:8" x14ac:dyDescent="0.35">
      <c r="B7" s="186" t="s">
        <v>21</v>
      </c>
      <c r="C7" s="193">
        <v>249</v>
      </c>
      <c r="D7" s="26">
        <f>C7*0.1</f>
        <v>24.900000000000002</v>
      </c>
      <c r="E7" s="196">
        <f>C7*0.05</f>
        <v>12.450000000000001</v>
      </c>
      <c r="F7" s="333">
        <v>187.23</v>
      </c>
      <c r="G7" s="336">
        <f>F7*0.1</f>
        <v>18.722999999999999</v>
      </c>
      <c r="H7" s="337">
        <f>F7*0.05</f>
        <v>9.3614999999999995</v>
      </c>
    </row>
    <row r="8" spans="2:8" ht="15.6" thickBot="1" x14ac:dyDescent="0.4">
      <c r="B8" s="187" t="s">
        <v>22</v>
      </c>
      <c r="C8" s="197">
        <v>400</v>
      </c>
      <c r="D8" s="198">
        <f>C8*0.1</f>
        <v>40</v>
      </c>
      <c r="E8" s="199">
        <f>C8*0.05</f>
        <v>20</v>
      </c>
      <c r="F8" s="338">
        <v>448</v>
      </c>
      <c r="G8" s="339">
        <f>F8*0.1</f>
        <v>44.800000000000004</v>
      </c>
      <c r="H8" s="340">
        <f>F8*0.05</f>
        <v>22.400000000000002</v>
      </c>
    </row>
    <row r="9" spans="2:8" ht="29.1" customHeight="1" x14ac:dyDescent="0.35">
      <c r="B9" s="922" t="s">
        <v>488</v>
      </c>
      <c r="C9" s="922"/>
      <c r="D9" s="922"/>
      <c r="E9" s="922"/>
      <c r="F9" s="922"/>
      <c r="G9" s="922"/>
      <c r="H9" s="922"/>
    </row>
    <row r="10" spans="2:8" ht="29.1" customHeight="1" x14ac:dyDescent="0.35">
      <c r="B10" s="922" t="s">
        <v>680</v>
      </c>
      <c r="C10" s="922"/>
      <c r="D10" s="922"/>
      <c r="E10" s="922"/>
      <c r="F10" s="922"/>
      <c r="G10" s="922"/>
      <c r="H10" s="922"/>
    </row>
  </sheetData>
  <mergeCells count="6">
    <mergeCell ref="F3:H3"/>
    <mergeCell ref="B9:H9"/>
    <mergeCell ref="B1:H1"/>
    <mergeCell ref="B2:H2"/>
    <mergeCell ref="B10:H10"/>
    <mergeCell ref="C3:E3"/>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F3C4-6067-4F0E-AC9B-25B840260344}">
  <sheetPr>
    <tabColor theme="7" tint="0.79998168889431442"/>
  </sheetPr>
  <dimension ref="B2:C21"/>
  <sheetViews>
    <sheetView showGridLines="0" zoomScaleNormal="100" workbookViewId="0">
      <selection activeCell="S36" sqref="S36"/>
    </sheetView>
  </sheetViews>
  <sheetFormatPr defaultRowHeight="14.4" x14ac:dyDescent="0.3"/>
  <sheetData>
    <row r="2" spans="2:3" x14ac:dyDescent="0.3">
      <c r="B2" s="383" t="s">
        <v>706</v>
      </c>
    </row>
    <row r="5" spans="2:3" x14ac:dyDescent="0.3">
      <c r="B5" s="364" t="s">
        <v>707</v>
      </c>
    </row>
    <row r="6" spans="2:3" x14ac:dyDescent="0.3">
      <c r="C6" t="s">
        <v>708</v>
      </c>
    </row>
    <row r="7" spans="2:3" x14ac:dyDescent="0.3">
      <c r="C7" t="s">
        <v>709</v>
      </c>
    </row>
    <row r="9" spans="2:3" x14ac:dyDescent="0.3">
      <c r="B9" s="364" t="s">
        <v>711</v>
      </c>
    </row>
    <row r="10" spans="2:3" x14ac:dyDescent="0.3">
      <c r="C10" t="s">
        <v>710</v>
      </c>
    </row>
    <row r="11" spans="2:3" x14ac:dyDescent="0.3">
      <c r="C11" t="s">
        <v>712</v>
      </c>
    </row>
    <row r="13" spans="2:3" x14ac:dyDescent="0.3">
      <c r="B13" s="364" t="s">
        <v>715</v>
      </c>
    </row>
    <row r="14" spans="2:3" x14ac:dyDescent="0.3">
      <c r="C14" t="s">
        <v>713</v>
      </c>
    </row>
    <row r="15" spans="2:3" x14ac:dyDescent="0.3">
      <c r="C15" t="s">
        <v>714</v>
      </c>
    </row>
    <row r="19" spans="3:3" x14ac:dyDescent="0.3">
      <c r="C19" s="404" t="s">
        <v>785</v>
      </c>
    </row>
    <row r="20" spans="3:3" x14ac:dyDescent="0.3">
      <c r="C20" s="404" t="s">
        <v>735</v>
      </c>
    </row>
    <row r="21" spans="3:3" x14ac:dyDescent="0.3">
      <c r="C21" s="404" t="s">
        <v>560</v>
      </c>
    </row>
  </sheetData>
  <pageMargins left="0.7" right="0.7" top="0.75" bottom="0.75" header="0.3" footer="0.3"/>
  <pageSetup orientation="portrait" r:id="rId1"/>
  <headerFooter differentFirst="1">
    <oddHeader>&amp;C&amp;"Microsoft Sans Serif,Bold"CUI//SP-BUDG</oddHeader>
    <firstHeader>&amp;C&amp;"Microsoft Sans Serif,Bold"CUI//SP-BUDG</firstHeader>
    <firstFooter>&amp;LCUI Contact: cui@nsf.gov</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0DE73-7BB3-4135-B57F-C0FCEBDC5F9E}">
  <sheetPr>
    <tabColor theme="7" tint="0.79998168889431442"/>
  </sheetPr>
  <dimension ref="A1:G32"/>
  <sheetViews>
    <sheetView workbookViewId="0">
      <selection activeCell="G26" sqref="G26"/>
    </sheetView>
  </sheetViews>
  <sheetFormatPr defaultRowHeight="14.4" x14ac:dyDescent="0.3"/>
  <cols>
    <col min="1" max="1" width="25" customWidth="1"/>
    <col min="2" max="2" width="41.6640625" customWidth="1"/>
    <col min="7" max="7" width="10.44140625" customWidth="1"/>
  </cols>
  <sheetData>
    <row r="1" spans="1:7" x14ac:dyDescent="0.3">
      <c r="A1" s="466" t="s">
        <v>736</v>
      </c>
      <c r="B1" s="405"/>
      <c r="G1" s="404" t="s">
        <v>751</v>
      </c>
    </row>
    <row r="3" spans="1:7" x14ac:dyDescent="0.3">
      <c r="A3" t="s">
        <v>758</v>
      </c>
      <c r="B3" t="s">
        <v>560</v>
      </c>
    </row>
    <row r="4" spans="1:7" x14ac:dyDescent="0.3">
      <c r="A4" t="s">
        <v>737</v>
      </c>
      <c r="B4" t="s">
        <v>738</v>
      </c>
    </row>
    <row r="5" spans="1:7" x14ac:dyDescent="0.3">
      <c r="A5" t="s">
        <v>786</v>
      </c>
      <c r="B5" t="s">
        <v>738</v>
      </c>
    </row>
    <row r="6" spans="1:7" x14ac:dyDescent="0.3">
      <c r="A6" t="s">
        <v>777</v>
      </c>
    </row>
    <row r="7" spans="1:7" x14ac:dyDescent="0.3">
      <c r="A7" s="408" t="s">
        <v>739</v>
      </c>
    </row>
    <row r="8" spans="1:7" x14ac:dyDescent="0.3">
      <c r="A8" s="408" t="s">
        <v>673</v>
      </c>
    </row>
    <row r="9" spans="1:7" x14ac:dyDescent="0.3">
      <c r="A9" s="408" t="s">
        <v>740</v>
      </c>
    </row>
    <row r="10" spans="1:7" x14ac:dyDescent="0.3">
      <c r="A10" s="408" t="s">
        <v>741</v>
      </c>
      <c r="B10" t="s">
        <v>752</v>
      </c>
    </row>
    <row r="11" spans="1:7" x14ac:dyDescent="0.3">
      <c r="A11" s="408" t="s">
        <v>742</v>
      </c>
      <c r="B11" t="s">
        <v>752</v>
      </c>
    </row>
    <row r="12" spans="1:7" x14ac:dyDescent="0.3">
      <c r="A12" t="s">
        <v>778</v>
      </c>
    </row>
    <row r="14" spans="1:7" x14ac:dyDescent="0.3">
      <c r="A14" t="s">
        <v>743</v>
      </c>
    </row>
    <row r="15" spans="1:7" x14ac:dyDescent="0.3">
      <c r="A15" s="408" t="s">
        <v>744</v>
      </c>
    </row>
    <row r="16" spans="1:7" x14ac:dyDescent="0.3">
      <c r="A16" s="408" t="s">
        <v>745</v>
      </c>
    </row>
    <row r="17" spans="1:3" x14ac:dyDescent="0.3">
      <c r="A17" s="408" t="s">
        <v>746</v>
      </c>
    </row>
    <row r="18" spans="1:3" x14ac:dyDescent="0.3">
      <c r="A18" s="408" t="s">
        <v>747</v>
      </c>
    </row>
    <row r="19" spans="1:3" x14ac:dyDescent="0.3">
      <c r="A19" s="408" t="s">
        <v>748</v>
      </c>
    </row>
    <row r="20" spans="1:3" x14ac:dyDescent="0.3">
      <c r="A20" s="408" t="s">
        <v>753</v>
      </c>
      <c r="B20" t="s">
        <v>754</v>
      </c>
    </row>
    <row r="22" spans="1:3" x14ac:dyDescent="0.3">
      <c r="A22" s="466" t="s">
        <v>787</v>
      </c>
      <c r="B22" s="409"/>
    </row>
    <row r="23" spans="1:3" x14ac:dyDescent="0.3">
      <c r="A23" t="s">
        <v>782</v>
      </c>
      <c r="B23" t="s">
        <v>790</v>
      </c>
    </row>
    <row r="24" spans="1:3" x14ac:dyDescent="0.3">
      <c r="A24" t="s">
        <v>783</v>
      </c>
      <c r="B24" s="467" t="s">
        <v>788</v>
      </c>
      <c r="C24" t="s">
        <v>789</v>
      </c>
    </row>
    <row r="25" spans="1:3" x14ac:dyDescent="0.3">
      <c r="A25" t="s">
        <v>749</v>
      </c>
      <c r="B25" t="s">
        <v>781</v>
      </c>
    </row>
    <row r="26" spans="1:3" x14ac:dyDescent="0.3">
      <c r="A26" t="s">
        <v>750</v>
      </c>
      <c r="B26" t="s">
        <v>780</v>
      </c>
    </row>
    <row r="27" spans="1:3" x14ac:dyDescent="0.3">
      <c r="A27" t="s">
        <v>756</v>
      </c>
      <c r="B27" t="s">
        <v>755</v>
      </c>
    </row>
    <row r="28" spans="1:3" x14ac:dyDescent="0.3">
      <c r="A28" t="s">
        <v>757</v>
      </c>
      <c r="B28" t="s">
        <v>779</v>
      </c>
    </row>
    <row r="29" spans="1:3" x14ac:dyDescent="0.3">
      <c r="A29" t="s">
        <v>14</v>
      </c>
      <c r="B29" t="s">
        <v>784</v>
      </c>
    </row>
    <row r="30" spans="1:3" x14ac:dyDescent="0.3">
      <c r="A30" t="s">
        <v>774</v>
      </c>
      <c r="B30" t="s">
        <v>773</v>
      </c>
    </row>
    <row r="32" spans="1:3" x14ac:dyDescent="0.3">
      <c r="A32" t="s">
        <v>560</v>
      </c>
    </row>
  </sheetData>
  <pageMargins left="0.7" right="0.7" top="0.75" bottom="0.75" header="0.3" footer="0.3"/>
  <pageSetup orientation="portrait" r:id="rId1"/>
  <headerFooter differentFirst="1">
    <oddHeader>&amp;C&amp;"Microsoft Sans Serif,Bold"CUI//SP-BUDG</oddHeader>
    <firstHeader>&amp;C&amp;"Microsoft Sans Serif,Bold"CUI//SP-BUDG</firstHeader>
    <firstFooter>&amp;LCUI Contact: cui@nsf.gov</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DE917-5C58-4C2B-9643-790FF1735EB7}">
  <sheetPr>
    <tabColor theme="4" tint="0.79998168889431442"/>
  </sheetPr>
  <dimension ref="B1:AC46"/>
  <sheetViews>
    <sheetView showGridLines="0" zoomScale="130" zoomScaleNormal="130" workbookViewId="0">
      <pane xSplit="3" ySplit="8" topLeftCell="D28" activePane="bottomRight" state="frozen"/>
      <selection activeCell="J30" sqref="J30"/>
      <selection pane="topRight" activeCell="J30" sqref="J30"/>
      <selection pane="bottomLeft" activeCell="J30" sqref="J30"/>
      <selection pane="bottomRight" activeCell="E33" sqref="E33"/>
    </sheetView>
  </sheetViews>
  <sheetFormatPr defaultColWidth="9.33203125" defaultRowHeight="13.2" outlineLevelRow="2" outlineLevelCol="1" x14ac:dyDescent="0.3"/>
  <cols>
    <col min="1" max="1" width="2.6640625" style="1" customWidth="1"/>
    <col min="2" max="2" width="9.33203125" style="1" hidden="1" customWidth="1" outlineLevel="1"/>
    <col min="3" max="3" width="46.5546875" style="1" bestFit="1" customWidth="1" collapsed="1"/>
    <col min="4" max="12" width="10.6640625" style="1" customWidth="1" outlineLevel="1"/>
    <col min="13" max="13" width="3.5546875" style="1" customWidth="1"/>
    <col min="14" max="14" width="10.6640625" style="1" hidden="1" customWidth="1" outlineLevel="1" collapsed="1"/>
    <col min="15" max="25" width="9.5546875" style="1" hidden="1" customWidth="1" outlineLevel="1"/>
    <col min="26" max="28" width="10.6640625" style="1" hidden="1" customWidth="1" outlineLevel="1"/>
    <col min="29" max="29" width="10.6640625" style="1" customWidth="1" collapsed="1"/>
    <col min="30" max="161" width="10.6640625" style="1" customWidth="1"/>
    <col min="162" max="16384" width="9.33203125" style="1"/>
  </cols>
  <sheetData>
    <row r="1" spans="2:28" ht="15.6" x14ac:dyDescent="0.35">
      <c r="C1" s="211" t="s">
        <v>486</v>
      </c>
    </row>
    <row r="2" spans="2:28" x14ac:dyDescent="0.3">
      <c r="C2" s="174" t="s">
        <v>469</v>
      </c>
    </row>
    <row r="3" spans="2:28" ht="13.8" thickBot="1" x14ac:dyDescent="0.35">
      <c r="D3" s="836" t="s">
        <v>445</v>
      </c>
      <c r="E3" s="836"/>
      <c r="F3" s="836"/>
      <c r="G3" s="836"/>
      <c r="H3" s="836"/>
      <c r="I3" s="836"/>
      <c r="J3" s="836"/>
      <c r="K3" s="836"/>
      <c r="L3" s="836"/>
      <c r="N3" s="836" t="s">
        <v>446</v>
      </c>
      <c r="O3" s="836"/>
      <c r="P3" s="836"/>
      <c r="Q3" s="836"/>
      <c r="R3" s="836"/>
      <c r="S3" s="836"/>
      <c r="T3" s="836"/>
      <c r="U3" s="836"/>
      <c r="V3" s="836"/>
      <c r="W3" s="836"/>
      <c r="X3" s="836"/>
      <c r="Y3" s="836"/>
      <c r="Z3" s="836"/>
      <c r="AA3" s="836"/>
      <c r="AB3" s="836"/>
    </row>
    <row r="4" spans="2:28" ht="13.8" hidden="1" outlineLevel="1" thickBot="1" x14ac:dyDescent="0.35">
      <c r="N4" s="1" t="s">
        <v>339</v>
      </c>
    </row>
    <row r="5" spans="2:28" s="91" customFormat="1" ht="14.85" customHeight="1" collapsed="1" x14ac:dyDescent="0.3">
      <c r="C5" s="92"/>
      <c r="D5" s="939" t="s">
        <v>443</v>
      </c>
      <c r="E5" s="926" t="s">
        <v>423</v>
      </c>
      <c r="F5" s="927"/>
      <c r="G5" s="927"/>
      <c r="H5" s="942" t="s">
        <v>371</v>
      </c>
      <c r="I5" s="926" t="s">
        <v>497</v>
      </c>
      <c r="J5" s="927"/>
      <c r="K5" s="927"/>
      <c r="L5" s="928"/>
      <c r="N5" s="945" t="s">
        <v>444</v>
      </c>
      <c r="O5" s="950" t="s">
        <v>468</v>
      </c>
      <c r="P5" s="951"/>
      <c r="Q5" s="951"/>
      <c r="R5" s="951"/>
      <c r="S5" s="951"/>
      <c r="T5" s="951"/>
      <c r="U5" s="951"/>
      <c r="V5" s="951"/>
      <c r="W5" s="951"/>
      <c r="X5" s="951"/>
      <c r="Y5" s="952"/>
      <c r="Z5" s="953" t="s">
        <v>404</v>
      </c>
      <c r="AA5" s="956" t="s">
        <v>371</v>
      </c>
      <c r="AB5" s="959" t="s">
        <v>426</v>
      </c>
    </row>
    <row r="6" spans="2:28" ht="14.85" customHeight="1" x14ac:dyDescent="0.3">
      <c r="D6" s="940"/>
      <c r="E6" s="948" t="s">
        <v>425</v>
      </c>
      <c r="F6" s="823" t="s">
        <v>424</v>
      </c>
      <c r="G6" s="823" t="s">
        <v>490</v>
      </c>
      <c r="H6" s="943"/>
      <c r="I6" s="929" t="s">
        <v>375</v>
      </c>
      <c r="J6" s="930"/>
      <c r="K6" s="929" t="s">
        <v>372</v>
      </c>
      <c r="L6" s="930"/>
      <c r="N6" s="946"/>
      <c r="O6" s="933" t="s">
        <v>448</v>
      </c>
      <c r="P6" s="936" t="s">
        <v>507</v>
      </c>
      <c r="Q6" s="936" t="s">
        <v>496</v>
      </c>
      <c r="R6" s="936" t="s">
        <v>438</v>
      </c>
      <c r="S6" s="936" t="s">
        <v>512</v>
      </c>
      <c r="T6" s="936" t="s">
        <v>508</v>
      </c>
      <c r="U6" s="936" t="s">
        <v>509</v>
      </c>
      <c r="V6" s="936" t="s">
        <v>38</v>
      </c>
      <c r="W6" s="936" t="s">
        <v>510</v>
      </c>
      <c r="X6" s="962" t="s">
        <v>511</v>
      </c>
      <c r="Y6" s="823" t="s">
        <v>466</v>
      </c>
      <c r="Z6" s="954"/>
      <c r="AA6" s="957"/>
      <c r="AB6" s="960"/>
    </row>
    <row r="7" spans="2:28" ht="14.85" customHeight="1" x14ac:dyDescent="0.3">
      <c r="D7" s="940"/>
      <c r="E7" s="948"/>
      <c r="F7" s="823"/>
      <c r="G7" s="823"/>
      <c r="H7" s="943"/>
      <c r="I7" s="931"/>
      <c r="J7" s="932"/>
      <c r="K7" s="931"/>
      <c r="L7" s="932"/>
      <c r="N7" s="946"/>
      <c r="O7" s="934"/>
      <c r="P7" s="937"/>
      <c r="Q7" s="937"/>
      <c r="R7" s="937"/>
      <c r="S7" s="937"/>
      <c r="T7" s="937"/>
      <c r="U7" s="937"/>
      <c r="V7" s="937"/>
      <c r="W7" s="937"/>
      <c r="X7" s="937"/>
      <c r="Y7" s="963"/>
      <c r="Z7" s="954"/>
      <c r="AA7" s="957"/>
      <c r="AB7" s="960"/>
    </row>
    <row r="8" spans="2:28" ht="14.85" customHeight="1" x14ac:dyDescent="0.3">
      <c r="C8" s="14"/>
      <c r="D8" s="941"/>
      <c r="E8" s="949"/>
      <c r="F8" s="824"/>
      <c r="G8" s="824"/>
      <c r="H8" s="944"/>
      <c r="I8" s="49" t="s">
        <v>377</v>
      </c>
      <c r="J8" s="60" t="s">
        <v>378</v>
      </c>
      <c r="K8" s="49" t="s">
        <v>377</v>
      </c>
      <c r="L8" s="60" t="s">
        <v>378</v>
      </c>
      <c r="N8" s="947"/>
      <c r="O8" s="935"/>
      <c r="P8" s="938"/>
      <c r="Q8" s="938"/>
      <c r="R8" s="938"/>
      <c r="S8" s="938"/>
      <c r="T8" s="938"/>
      <c r="U8" s="938"/>
      <c r="V8" s="938"/>
      <c r="W8" s="938"/>
      <c r="X8" s="938"/>
      <c r="Y8" s="964"/>
      <c r="Z8" s="955"/>
      <c r="AA8" s="958"/>
      <c r="AB8" s="961"/>
    </row>
    <row r="9" spans="2:28" hidden="1" outlineLevel="1" x14ac:dyDescent="0.3">
      <c r="B9" s="1" t="s">
        <v>325</v>
      </c>
      <c r="C9" s="1" t="s">
        <v>0</v>
      </c>
      <c r="D9" s="41"/>
      <c r="E9" s="19"/>
      <c r="F9" s="24"/>
      <c r="G9" s="24"/>
      <c r="H9" s="19"/>
      <c r="I9" s="19"/>
      <c r="J9" s="39"/>
      <c r="K9" s="24"/>
      <c r="L9" s="24"/>
      <c r="N9" s="144">
        <f>IFERROR(INDEX('2022 CONG 2022 CP'!$F$8:$CG$300, MATCH('Full-year CR'!$N$4, '2022 CONG 2022 CP'!$A$8:$A$300, 0), MATCH('Full-year CR'!B9, '2022 CONG 2022 CP'!$F$3:$CG$3, 0)), 0)</f>
        <v>831.73</v>
      </c>
      <c r="O9" s="113"/>
      <c r="P9" s="119"/>
      <c r="Q9" s="119"/>
      <c r="R9" s="119"/>
      <c r="S9" s="119"/>
      <c r="T9" s="119"/>
      <c r="U9" s="119"/>
      <c r="V9" s="119"/>
      <c r="W9" s="119"/>
      <c r="X9" s="119"/>
      <c r="Y9" s="37"/>
      <c r="Z9" s="128">
        <f t="shared" ref="Z9:Z29" si="0">SUM(N9:Y9)</f>
        <v>831.73</v>
      </c>
      <c r="AA9" s="41"/>
      <c r="AB9" s="41"/>
    </row>
    <row r="10" spans="2:28" hidden="1" outlineLevel="1" x14ac:dyDescent="0.3">
      <c r="B10" s="1" t="s">
        <v>326</v>
      </c>
      <c r="C10" s="1" t="s">
        <v>1</v>
      </c>
      <c r="D10" s="42"/>
      <c r="E10" s="20"/>
      <c r="F10" s="25"/>
      <c r="G10" s="25"/>
      <c r="H10" s="20"/>
      <c r="I10" s="20"/>
      <c r="J10" s="40"/>
      <c r="K10" s="25"/>
      <c r="L10" s="25"/>
      <c r="N10" s="145">
        <f>IFERROR(INDEX('2022 CONG 2022 CP'!$F$8:$CG$300, MATCH('Full-year CR'!$N$4, '2022 CONG 2022 CP'!$A$8:$A$300, 0), MATCH('Full-year CR'!B10, '2022 CONG 2022 CP'!$F$3:$CG$3, 0)), 0)</f>
        <v>1015.57</v>
      </c>
      <c r="O10" s="114"/>
      <c r="P10" s="120"/>
      <c r="Q10" s="120"/>
      <c r="R10" s="120"/>
      <c r="S10" s="120"/>
      <c r="T10" s="120"/>
      <c r="U10" s="120"/>
      <c r="V10" s="120"/>
      <c r="W10" s="120"/>
      <c r="X10" s="120"/>
      <c r="Y10" s="38"/>
      <c r="Z10" s="129">
        <f t="shared" si="0"/>
        <v>1015.57</v>
      </c>
      <c r="AA10" s="42"/>
      <c r="AB10" s="42"/>
    </row>
    <row r="11" spans="2:28" hidden="1" outlineLevel="1" x14ac:dyDescent="0.3">
      <c r="B11" s="1" t="s">
        <v>327</v>
      </c>
      <c r="C11" s="1" t="s">
        <v>2</v>
      </c>
      <c r="D11" s="42"/>
      <c r="E11" s="20"/>
      <c r="F11" s="25"/>
      <c r="G11" s="25"/>
      <c r="H11" s="20"/>
      <c r="I11" s="20"/>
      <c r="J11" s="40"/>
      <c r="K11" s="25"/>
      <c r="L11" s="25"/>
      <c r="N11" s="145">
        <f>IFERROR(INDEX('2022 CONG 2022 CP'!$F$8:$CG$300, MATCH('Full-year CR'!$N$4, '2022 CONG 2022 CP'!$A$8:$A$300, 0), MATCH('Full-year CR'!B11, '2022 CONG 2022 CP'!$F$3:$CG$3, 0)), 0)</f>
        <v>774.8</v>
      </c>
      <c r="O11" s="114"/>
      <c r="P11" s="120"/>
      <c r="Q11" s="120"/>
      <c r="R11" s="120"/>
      <c r="S11" s="120"/>
      <c r="T11" s="120"/>
      <c r="U11" s="120"/>
      <c r="V11" s="120"/>
      <c r="W11" s="120"/>
      <c r="X11" s="120"/>
      <c r="Y11" s="38"/>
      <c r="Z11" s="129">
        <f t="shared" si="0"/>
        <v>774.8</v>
      </c>
      <c r="AA11" s="42"/>
      <c r="AB11" s="42"/>
    </row>
    <row r="12" spans="2:28" hidden="1" outlineLevel="1" x14ac:dyDescent="0.3">
      <c r="B12" s="1" t="s">
        <v>328</v>
      </c>
      <c r="C12" s="1" t="s">
        <v>3</v>
      </c>
      <c r="D12" s="42"/>
      <c r="E12" s="20"/>
      <c r="F12" s="25"/>
      <c r="G12" s="25"/>
      <c r="H12" s="20"/>
      <c r="I12" s="20"/>
      <c r="J12" s="40"/>
      <c r="K12" s="25"/>
      <c r="L12" s="25"/>
      <c r="N12" s="145">
        <f>IFERROR(INDEX('2022 CONG 2022 CP'!$F$8:$CG$300, MATCH('Full-year CR'!$N$4, '2022 CONG 2022 CP'!$A$8:$A$300, 0), MATCH('Full-year CR'!B12, '2022 CONG 2022 CP'!$F$3:$CG$3, 0)), 0)-N14</f>
        <v>1033.46</v>
      </c>
      <c r="O12" s="114"/>
      <c r="P12" s="120"/>
      <c r="Q12" s="120"/>
      <c r="R12" s="120"/>
      <c r="S12" s="120"/>
      <c r="T12" s="120"/>
      <c r="U12" s="120"/>
      <c r="V12" s="120"/>
      <c r="W12" s="120"/>
      <c r="X12" s="120"/>
      <c r="Y12" s="161"/>
      <c r="Z12" s="129">
        <f t="shared" si="0"/>
        <v>1033.46</v>
      </c>
      <c r="AA12" s="42"/>
      <c r="AB12" s="42"/>
    </row>
    <row r="13" spans="2:28" hidden="1" outlineLevel="1" x14ac:dyDescent="0.3">
      <c r="C13" s="1" t="s">
        <v>4</v>
      </c>
      <c r="D13" s="42"/>
      <c r="E13" s="20"/>
      <c r="F13" s="25"/>
      <c r="G13" s="25"/>
      <c r="H13" s="20"/>
      <c r="I13" s="20"/>
      <c r="J13" s="40"/>
      <c r="K13" s="25"/>
      <c r="L13" s="25"/>
      <c r="N13" s="145">
        <f>SUM(N14:N15)</f>
        <v>532.43000000000006</v>
      </c>
      <c r="O13" s="114">
        <f>SUM(O14:O15)</f>
        <v>0</v>
      </c>
      <c r="P13" s="120">
        <f t="shared" ref="P13:U13" si="1">SUM(P14:P15)</f>
        <v>0</v>
      </c>
      <c r="Q13" s="120">
        <f t="shared" si="1"/>
        <v>0</v>
      </c>
      <c r="R13" s="120">
        <f>SUM(R14:R15)</f>
        <v>0</v>
      </c>
      <c r="S13" s="120">
        <f>SUM(S14:S15)</f>
        <v>0</v>
      </c>
      <c r="T13" s="120">
        <f>SUM(T14:T15)</f>
        <v>0</v>
      </c>
      <c r="U13" s="120">
        <f t="shared" si="1"/>
        <v>0</v>
      </c>
      <c r="V13" s="120" t="e">
        <f>SUM(V14:V15)</f>
        <v>#REF!</v>
      </c>
      <c r="W13" s="120">
        <f>SUM(W14:W16)</f>
        <v>0</v>
      </c>
      <c r="X13" s="120">
        <f>SUM(X14:X15)</f>
        <v>0</v>
      </c>
      <c r="Y13" s="161">
        <f>SUM(Y14:Y15)</f>
        <v>0</v>
      </c>
      <c r="Z13" s="129" t="e">
        <f t="shared" si="0"/>
        <v>#REF!</v>
      </c>
      <c r="AA13" s="42"/>
      <c r="AB13" s="42"/>
    </row>
    <row r="14" spans="2:28" s="131" customFormat="1" ht="14.85" hidden="1" customHeight="1" outlineLevel="2" x14ac:dyDescent="0.3">
      <c r="B14" s="131" t="s">
        <v>334</v>
      </c>
      <c r="C14" s="132" t="s">
        <v>5</v>
      </c>
      <c r="D14" s="44"/>
      <c r="E14" s="22"/>
      <c r="F14" s="27"/>
      <c r="G14" s="27"/>
      <c r="H14" s="22"/>
      <c r="I14" s="22"/>
      <c r="J14" s="45"/>
      <c r="K14" s="27"/>
      <c r="L14" s="27"/>
      <c r="M14" s="133"/>
      <c r="N14" s="146">
        <f>IFERROR(INDEX('2022 CONG 2022 CP'!$F$8:$CG$300, MATCH('Full-year CR'!$N$4, '2022 CONG 2022 CP'!$A$8:$A$300, 0), MATCH('Full-year CR'!B14, '2022 CONG 2022 CP'!$F$3:$CG$3, 0)), 0)</f>
        <v>447.43</v>
      </c>
      <c r="O14" s="212"/>
      <c r="P14" s="134"/>
      <c r="Q14" s="134"/>
      <c r="R14" s="134"/>
      <c r="S14" s="134"/>
      <c r="T14" s="134"/>
      <c r="U14" s="134"/>
      <c r="V14" s="134"/>
      <c r="W14" s="134"/>
      <c r="X14" s="134"/>
      <c r="Y14" s="219"/>
      <c r="Z14" s="135">
        <f t="shared" si="0"/>
        <v>447.43</v>
      </c>
      <c r="AA14" s="44"/>
      <c r="AB14" s="44"/>
    </row>
    <row r="15" spans="2:28" s="131" customFormat="1" ht="14.85" hidden="1" customHeight="1" outlineLevel="2" x14ac:dyDescent="0.3">
      <c r="B15" s="131" t="s">
        <v>335</v>
      </c>
      <c r="C15" s="132" t="s">
        <v>6</v>
      </c>
      <c r="D15" s="44"/>
      <c r="E15" s="22"/>
      <c r="F15" s="27"/>
      <c r="G15" s="27"/>
      <c r="H15" s="22"/>
      <c r="I15" s="22"/>
      <c r="J15" s="45"/>
      <c r="K15" s="27"/>
      <c r="L15" s="27"/>
      <c r="M15" s="133"/>
      <c r="N15" s="146">
        <f>IFERROR(INDEX('2022 CONG 2022 CP'!$F$8:$CG$300, MATCH('Full-year CR'!$N$4, '2022 CONG 2022 CP'!$A$8:$A$300, 0), MATCH('Full-year CR'!B15, '2022 CONG 2022 CP'!$F$3:$CG$3, 0)), 0)</f>
        <v>85</v>
      </c>
      <c r="O15" s="212"/>
      <c r="P15" s="134"/>
      <c r="Q15" s="134"/>
      <c r="R15" s="134"/>
      <c r="S15" s="134"/>
      <c r="T15" s="134"/>
      <c r="U15" s="134"/>
      <c r="V15" s="218" t="e">
        <f>#REF!</f>
        <v>#REF!</v>
      </c>
      <c r="X15" s="134"/>
      <c r="Y15" s="219"/>
      <c r="Z15" s="135" t="e">
        <f t="shared" si="0"/>
        <v>#REF!</v>
      </c>
      <c r="AA15" s="44"/>
      <c r="AB15" s="44"/>
    </row>
    <row r="16" spans="2:28" hidden="1" outlineLevel="1" collapsed="1" x14ac:dyDescent="0.3">
      <c r="B16" s="1" t="s">
        <v>329</v>
      </c>
      <c r="C16" s="1" t="s">
        <v>7</v>
      </c>
      <c r="D16" s="42"/>
      <c r="E16" s="20"/>
      <c r="F16" s="25"/>
      <c r="G16" s="25"/>
      <c r="H16" s="20"/>
      <c r="I16" s="20"/>
      <c r="J16" s="40"/>
      <c r="K16" s="25"/>
      <c r="L16" s="25"/>
      <c r="N16" s="145">
        <f>IFERROR(INDEX('2022 CONG 2022 CP'!$F$8:$CG$300, MATCH('Full-year CR'!$N$4, '2022 CONG 2022 CP'!$A$8:$A$300, 0), MATCH('Full-year CR'!B16, '2022 CONG 2022 CP'!$F$3:$CG$3, 0)), 0)</f>
        <v>1612.9</v>
      </c>
      <c r="O16" s="114"/>
      <c r="P16" s="120"/>
      <c r="Q16" s="215" t="e">
        <f>#REF!</f>
        <v>#REF!</v>
      </c>
      <c r="R16" s="120"/>
      <c r="S16" s="120"/>
      <c r="T16" s="120"/>
      <c r="U16" s="120"/>
      <c r="V16" s="120"/>
      <c r="W16" s="134"/>
      <c r="X16" s="120"/>
      <c r="Y16" s="161"/>
      <c r="Z16" s="129" t="e">
        <f t="shared" si="0"/>
        <v>#REF!</v>
      </c>
      <c r="AA16" s="42"/>
      <c r="AB16" s="42"/>
    </row>
    <row r="17" spans="2:28" hidden="1" outlineLevel="1" x14ac:dyDescent="0.3">
      <c r="B17" s="1" t="s">
        <v>330</v>
      </c>
      <c r="C17" s="1" t="s">
        <v>8</v>
      </c>
      <c r="D17" s="42"/>
      <c r="E17" s="20"/>
      <c r="F17" s="25"/>
      <c r="G17" s="25"/>
      <c r="H17" s="20"/>
      <c r="I17" s="20"/>
      <c r="J17" s="40"/>
      <c r="K17" s="25"/>
      <c r="L17" s="25"/>
      <c r="N17" s="145">
        <f>IFERROR(INDEX('2022 CONG 2022 CP'!$F$8:$CG$300, MATCH('Full-year CR'!$N$4, '2022 CONG 2022 CP'!$A$8:$A$300, 0), MATCH('Full-year CR'!B17, '2022 CONG 2022 CP'!$F$3:$CG$3, 0)), 0)</f>
        <v>285.82</v>
      </c>
      <c r="O17" s="114"/>
      <c r="P17" s="120"/>
      <c r="Q17" s="120"/>
      <c r="R17" s="120"/>
      <c r="S17" s="120"/>
      <c r="T17" s="120"/>
      <c r="U17" s="215" t="e">
        <f>#REF!</f>
        <v>#REF!</v>
      </c>
      <c r="V17" s="120"/>
      <c r="W17" s="120"/>
      <c r="X17" s="120"/>
      <c r="Y17" s="161"/>
      <c r="Z17" s="129" t="e">
        <f t="shared" si="0"/>
        <v>#REF!</v>
      </c>
      <c r="AA17" s="42"/>
      <c r="AB17" s="42"/>
    </row>
    <row r="18" spans="2:28" hidden="1" outlineLevel="1" x14ac:dyDescent="0.3">
      <c r="C18" s="1" t="s">
        <v>9</v>
      </c>
      <c r="D18" s="42"/>
      <c r="E18" s="20"/>
      <c r="F18" s="25"/>
      <c r="G18" s="25"/>
      <c r="H18" s="20"/>
      <c r="I18" s="20"/>
      <c r="J18" s="40"/>
      <c r="K18" s="25"/>
      <c r="L18" s="25"/>
      <c r="N18" s="145">
        <f>SUM(N19:N20)</f>
        <v>450</v>
      </c>
      <c r="O18" s="114">
        <f t="shared" ref="O18:W18" si="2">SUM(O19:O20)</f>
        <v>0</v>
      </c>
      <c r="P18" s="120">
        <f t="shared" si="2"/>
        <v>0</v>
      </c>
      <c r="Q18" s="120">
        <f t="shared" si="2"/>
        <v>0</v>
      </c>
      <c r="R18" s="120">
        <f>SUM(R19:R20)</f>
        <v>0</v>
      </c>
      <c r="S18" s="120" t="e">
        <f>SUM(S19:S19)</f>
        <v>#REF!</v>
      </c>
      <c r="T18" s="120">
        <f>SUM(T19:T20)</f>
        <v>0</v>
      </c>
      <c r="U18" s="120">
        <f t="shared" si="2"/>
        <v>0</v>
      </c>
      <c r="V18" s="120">
        <f>SUM(V19:V20)</f>
        <v>0</v>
      </c>
      <c r="W18" s="120">
        <f t="shared" si="2"/>
        <v>0</v>
      </c>
      <c r="X18" s="120">
        <f>SUM(X19:X20)</f>
        <v>0</v>
      </c>
      <c r="Y18" s="161">
        <f>SUM(Y19:Y20)</f>
        <v>0</v>
      </c>
      <c r="Z18" s="129" t="e">
        <f t="shared" si="0"/>
        <v>#REF!</v>
      </c>
      <c r="AA18" s="42"/>
      <c r="AB18" s="42"/>
    </row>
    <row r="19" spans="2:28" s="131" customFormat="1" ht="14.85" hidden="1" customHeight="1" outlineLevel="2" x14ac:dyDescent="0.3">
      <c r="B19" s="131" t="s">
        <v>331</v>
      </c>
      <c r="C19" s="132" t="s">
        <v>10</v>
      </c>
      <c r="D19" s="44"/>
      <c r="E19" s="22"/>
      <c r="F19" s="27"/>
      <c r="G19" s="27"/>
      <c r="H19" s="22"/>
      <c r="I19" s="22"/>
      <c r="J19" s="45"/>
      <c r="K19" s="27"/>
      <c r="L19" s="27"/>
      <c r="M19" s="133"/>
      <c r="N19" s="146">
        <f>IFERROR(INDEX('2022 CONG 2022 CP'!$F$8:$CG$300, MATCH('Full-year CR'!$N$4, '2022 CONG 2022 CP'!$A$8:$A$300, 0), MATCH('Full-year CR'!B19, '2022 CONG 2022 CP'!$F$3:$CG$3, 0)), 0)-N20</f>
        <v>214</v>
      </c>
      <c r="O19" s="212"/>
      <c r="P19" s="134"/>
      <c r="Q19" s="134"/>
      <c r="R19" s="134"/>
      <c r="S19" s="134" t="e">
        <f>#REF!</f>
        <v>#REF!</v>
      </c>
      <c r="T19" s="134"/>
      <c r="U19" s="134"/>
      <c r="V19" s="134"/>
      <c r="W19" s="134"/>
      <c r="X19" s="134"/>
      <c r="Y19" s="219"/>
      <c r="Z19" s="135" t="e">
        <f t="shared" si="0"/>
        <v>#REF!</v>
      </c>
      <c r="AA19" s="44"/>
      <c r="AB19" s="44"/>
    </row>
    <row r="20" spans="2:28" s="131" customFormat="1" ht="14.85" hidden="1" customHeight="1" outlineLevel="2" x14ac:dyDescent="0.3">
      <c r="B20" s="131" t="s">
        <v>434</v>
      </c>
      <c r="C20" s="132" t="s">
        <v>11</v>
      </c>
      <c r="D20" s="44"/>
      <c r="E20" s="22"/>
      <c r="F20" s="27"/>
      <c r="G20" s="27"/>
      <c r="H20" s="22"/>
      <c r="I20" s="22"/>
      <c r="J20" s="45"/>
      <c r="K20" s="27"/>
      <c r="L20" s="27"/>
      <c r="M20" s="133"/>
      <c r="N20" s="146">
        <f>SUM('2022 CONG 2022 CP'!BB57:BB59)</f>
        <v>236</v>
      </c>
      <c r="O20" s="212"/>
      <c r="P20" s="134"/>
      <c r="Q20" s="134"/>
      <c r="R20" s="134"/>
      <c r="T20" s="134"/>
      <c r="U20" s="134"/>
      <c r="V20" s="134"/>
      <c r="W20" s="134"/>
      <c r="X20" s="134"/>
      <c r="Y20" s="219"/>
      <c r="Z20" s="135">
        <f t="shared" si="0"/>
        <v>236</v>
      </c>
      <c r="AA20" s="44"/>
      <c r="AB20" s="44"/>
    </row>
    <row r="21" spans="2:28" hidden="1" outlineLevel="1" collapsed="1" x14ac:dyDescent="0.3">
      <c r="B21" s="1" t="s">
        <v>332</v>
      </c>
      <c r="C21" s="1" t="s">
        <v>12</v>
      </c>
      <c r="D21" s="42"/>
      <c r="E21" s="20"/>
      <c r="F21" s="25"/>
      <c r="G21" s="25"/>
      <c r="H21" s="20"/>
      <c r="I21" s="20"/>
      <c r="J21" s="40"/>
      <c r="K21" s="25"/>
      <c r="L21" s="25"/>
      <c r="N21" s="145">
        <f>IFERROR(INDEX('2022 CONG 2022 CP'!$F$8:$CG$300, MATCH('Full-year CR'!$N$4, '2022 CONG 2022 CP'!$A$8:$A$300, 0), MATCH('Full-year CR'!B21, '2022 CONG 2022 CP'!$F$3:$CG$3, 0)), 0)</f>
        <v>61.32</v>
      </c>
      <c r="O21" s="114"/>
      <c r="P21" s="120"/>
      <c r="Q21" s="120"/>
      <c r="R21" s="120"/>
      <c r="S21" s="120"/>
      <c r="T21" s="120"/>
      <c r="U21" s="120"/>
      <c r="V21" s="120"/>
      <c r="W21" s="120"/>
      <c r="X21" s="120"/>
      <c r="Y21" s="161"/>
      <c r="Z21" s="129">
        <f t="shared" si="0"/>
        <v>61.32</v>
      </c>
      <c r="AA21" s="42"/>
      <c r="AB21" s="42"/>
    </row>
    <row r="22" spans="2:28" hidden="1" outlineLevel="1" x14ac:dyDescent="0.3">
      <c r="C22" s="1" t="s">
        <v>13</v>
      </c>
      <c r="D22" s="42"/>
      <c r="E22" s="20"/>
      <c r="F22" s="25"/>
      <c r="G22" s="25"/>
      <c r="H22" s="20"/>
      <c r="I22" s="20"/>
      <c r="J22" s="40"/>
      <c r="K22" s="25"/>
      <c r="L22" s="25"/>
      <c r="N22" s="145">
        <f>SUM(N23:N24)</f>
        <v>399.83000000000004</v>
      </c>
      <c r="O22" s="114">
        <f>SUM(O23:O24)</f>
        <v>0</v>
      </c>
      <c r="P22" s="120">
        <f t="shared" ref="P22:W22" si="3">SUM(P23:P24)</f>
        <v>0</v>
      </c>
      <c r="Q22" s="120">
        <f t="shared" si="3"/>
        <v>0</v>
      </c>
      <c r="R22" s="120">
        <f>SUM(R23:R24)</f>
        <v>0</v>
      </c>
      <c r="S22" s="120">
        <f>SUM(S23:S24)</f>
        <v>0</v>
      </c>
      <c r="T22" s="120" t="e">
        <f>SUM(T23:T24)</f>
        <v>#REF!</v>
      </c>
      <c r="U22" s="120">
        <f t="shared" si="3"/>
        <v>0</v>
      </c>
      <c r="V22" s="120">
        <f>SUM(V23:V24)</f>
        <v>0</v>
      </c>
      <c r="W22" s="120">
        <f t="shared" si="3"/>
        <v>0</v>
      </c>
      <c r="X22" s="120">
        <f>SUM(X23:X24)</f>
        <v>0</v>
      </c>
      <c r="Y22" s="161">
        <f>SUM(Y23:Y24)</f>
        <v>0</v>
      </c>
      <c r="Z22" s="129" t="e">
        <f t="shared" si="0"/>
        <v>#REF!</v>
      </c>
      <c r="AA22" s="42"/>
      <c r="AB22" s="42"/>
    </row>
    <row r="23" spans="2:28" s="133" customFormat="1" ht="14.85" hidden="1" customHeight="1" outlineLevel="2" x14ac:dyDescent="0.3">
      <c r="B23" s="133" t="s">
        <v>337</v>
      </c>
      <c r="C23" s="132" t="s">
        <v>14</v>
      </c>
      <c r="D23" s="136"/>
      <c r="E23" s="137"/>
      <c r="F23" s="138"/>
      <c r="G23" s="138"/>
      <c r="H23" s="137"/>
      <c r="I23" s="137"/>
      <c r="J23" s="139"/>
      <c r="K23" s="138"/>
      <c r="L23" s="138"/>
      <c r="N23" s="147">
        <f>IFERROR(INDEX('2022 CONG 2022 CP'!$F$8:$CG$300, MATCH('Full-year CR'!$N$4, '2022 CONG 2022 CP'!$A$8:$A$300, 0), MATCH('Full-year CR'!B23, '2022 CONG 2022 CP'!$F$3:$CG$3, 0)), 0)</f>
        <v>215</v>
      </c>
      <c r="O23" s="140"/>
      <c r="P23" s="141"/>
      <c r="Q23" s="141"/>
      <c r="R23" s="141"/>
      <c r="S23" s="141"/>
      <c r="T23" s="217" t="e">
        <f>#REF!</f>
        <v>#REF!</v>
      </c>
      <c r="U23" s="141"/>
      <c r="V23" s="141"/>
      <c r="W23" s="141"/>
      <c r="X23" s="141"/>
      <c r="Y23" s="162"/>
      <c r="Z23" s="143" t="e">
        <f t="shared" si="0"/>
        <v>#REF!</v>
      </c>
      <c r="AA23" s="136"/>
      <c r="AB23" s="136"/>
    </row>
    <row r="24" spans="2:28" s="133" customFormat="1" ht="14.85" hidden="1" customHeight="1" outlineLevel="2" x14ac:dyDescent="0.3">
      <c r="B24" s="133" t="s">
        <v>336</v>
      </c>
      <c r="C24" s="132" t="s">
        <v>15</v>
      </c>
      <c r="D24" s="136"/>
      <c r="E24" s="137"/>
      <c r="F24" s="138"/>
      <c r="G24" s="138"/>
      <c r="H24" s="137"/>
      <c r="I24" s="137"/>
      <c r="J24" s="139"/>
      <c r="K24" s="138"/>
      <c r="L24" s="138"/>
      <c r="N24" s="147">
        <f>IFERROR(INDEX('2022 CONG 2022 CP'!$F$8:$CG$300, MATCH('Full-year CR'!$N$4, '2022 CONG 2022 CP'!$A$8:$A$300, 0), MATCH('Full-year CR'!B24, '2022 CONG 2022 CP'!$F$3:$CG$3, 0)), 0)</f>
        <v>184.83</v>
      </c>
      <c r="O24" s="140"/>
      <c r="P24" s="141"/>
      <c r="Q24" s="141"/>
      <c r="R24" s="141"/>
      <c r="S24" s="141"/>
      <c r="T24" s="217" t="e">
        <f>#REF!-#REF!</f>
        <v>#REF!</v>
      </c>
      <c r="U24" s="141"/>
      <c r="V24" s="141"/>
      <c r="W24" s="141"/>
      <c r="X24" s="141"/>
      <c r="Y24" s="142"/>
      <c r="Z24" s="143" t="e">
        <f t="shared" si="0"/>
        <v>#REF!</v>
      </c>
      <c r="AA24" s="136"/>
      <c r="AB24" s="136"/>
    </row>
    <row r="25" spans="2:28" hidden="1" outlineLevel="1" collapsed="1" x14ac:dyDescent="0.3">
      <c r="B25" s="1" t="s">
        <v>338</v>
      </c>
      <c r="C25" s="1" t="s">
        <v>16</v>
      </c>
      <c r="D25" s="42"/>
      <c r="E25" s="20"/>
      <c r="F25" s="25"/>
      <c r="G25" s="25"/>
      <c r="H25" s="20"/>
      <c r="I25" s="20"/>
      <c r="J25" s="40"/>
      <c r="K25" s="25"/>
      <c r="L25" s="25"/>
      <c r="N25" s="145">
        <f>IFERROR(INDEX('2022 CONG 2022 CP'!$F$8:$CG$300, MATCH('Full-year CR'!$N$4, '2022 CONG 2022 CP'!$A$8:$A$300, 0), MATCH('Full-year CR'!B25, '2022 CONG 2022 CP'!$F$3:$CG$3, 0)), 0)</f>
        <v>1.66</v>
      </c>
      <c r="O25" s="114"/>
      <c r="P25" s="120"/>
      <c r="Q25" s="120"/>
      <c r="R25" s="120"/>
      <c r="S25" s="120"/>
      <c r="T25" s="120"/>
      <c r="U25" s="120"/>
      <c r="V25" s="120"/>
      <c r="W25" s="120"/>
      <c r="X25" s="120"/>
      <c r="Y25" s="38"/>
      <c r="Z25" s="129">
        <f t="shared" si="0"/>
        <v>1.66</v>
      </c>
      <c r="AA25" s="42"/>
      <c r="AB25" s="42"/>
    </row>
    <row r="26" spans="2:28" hidden="1" outlineLevel="1" x14ac:dyDescent="0.3">
      <c r="C26" s="1" t="s">
        <v>17</v>
      </c>
      <c r="D26" s="42"/>
      <c r="E26" s="20"/>
      <c r="F26" s="25"/>
      <c r="G26" s="25"/>
      <c r="H26" s="20"/>
      <c r="I26" s="20"/>
      <c r="J26" s="40"/>
      <c r="K26" s="25"/>
      <c r="L26" s="25"/>
      <c r="N26" s="145">
        <f>IFERROR(INDEX('2022 CONG 2022 CP'!$F$8:$CG$300, MATCH('Full-year CR'!$N$4, '2022 CONG 2022 CP'!$A$8:$A$300, 0), MATCH('Full-year CR'!B26, '2022 CONG 2022 CP'!$F$3:$CG$3, 0)), 0)</f>
        <v>0</v>
      </c>
      <c r="O26" s="114"/>
      <c r="P26" s="120"/>
      <c r="Q26" s="120"/>
      <c r="R26" s="120"/>
      <c r="S26" s="120"/>
      <c r="T26" s="120"/>
      <c r="U26" s="120"/>
      <c r="V26" s="120"/>
      <c r="W26" s="120"/>
      <c r="X26" s="120"/>
      <c r="Y26" s="38"/>
      <c r="Z26" s="129">
        <f t="shared" si="0"/>
        <v>0</v>
      </c>
      <c r="AA26" s="42"/>
      <c r="AB26" s="42"/>
    </row>
    <row r="27" spans="2:28" hidden="1" outlineLevel="1" x14ac:dyDescent="0.3">
      <c r="B27" s="1" t="s">
        <v>447</v>
      </c>
      <c r="C27" s="14" t="s">
        <v>18</v>
      </c>
      <c r="D27" s="43"/>
      <c r="E27" s="21"/>
      <c r="F27" s="16"/>
      <c r="G27" s="16"/>
      <c r="H27" s="21"/>
      <c r="I27" s="21"/>
      <c r="J27" s="47"/>
      <c r="K27" s="25"/>
      <c r="L27" s="25"/>
      <c r="N27" s="148">
        <f>IFERROR(INDEX('2022 CONG 2022 CP'!$F$8:$CG$300, MATCH('Full-year CR'!$N$4, '2022 CONG 2022 CP'!$A$8:$A$300, 0), MATCH('Full-year CR'!B27, '2022 CONG 2022 CP'!$F$3:$CG$3, 0)), 0)</f>
        <v>0</v>
      </c>
      <c r="O27" s="115"/>
      <c r="P27" s="214" t="e">
        <f>#REF!</f>
        <v>#REF!</v>
      </c>
      <c r="Q27" s="121"/>
      <c r="R27" s="121"/>
      <c r="S27" s="121"/>
      <c r="T27" s="121"/>
      <c r="U27" s="121"/>
      <c r="V27" s="121"/>
      <c r="W27" s="214" t="e">
        <f>#REF!</f>
        <v>#REF!</v>
      </c>
      <c r="X27" s="121"/>
      <c r="Y27" s="88"/>
      <c r="Z27" s="130" t="e">
        <f t="shared" si="0"/>
        <v>#REF!</v>
      </c>
      <c r="AA27" s="43"/>
      <c r="AB27" s="43"/>
    </row>
    <row r="28" spans="2:28" collapsed="1" x14ac:dyDescent="0.3">
      <c r="C28" s="2" t="s">
        <v>19</v>
      </c>
      <c r="D28" s="29">
        <v>7159.4</v>
      </c>
      <c r="E28" s="26"/>
      <c r="F28" s="18">
        <v>21.77</v>
      </c>
      <c r="G28" s="18">
        <v>-147.74</v>
      </c>
      <c r="H28" s="78">
        <f t="shared" ref="H28:H34" si="4">SUM(D28:G28)</f>
        <v>7033.43</v>
      </c>
      <c r="I28" s="26">
        <f t="shared" ref="I28:I34" si="5">H28-D28</f>
        <v>-125.96999999999935</v>
      </c>
      <c r="J28" s="90">
        <f t="shared" ref="J28:J34" si="6">IFERROR(I28/D28, "N/A")</f>
        <v>-1.7595049864513695E-2</v>
      </c>
      <c r="K28" s="26">
        <f>H28-N28</f>
        <v>33.909999999999854</v>
      </c>
      <c r="L28" s="90">
        <f>IFERROR(K28/N28, "N/A")</f>
        <v>4.8446179166571207E-3</v>
      </c>
      <c r="N28" s="23">
        <f>SUM(N9:N13,N16:N18,N21:N22,N25:N27)</f>
        <v>6999.52</v>
      </c>
      <c r="O28" s="116">
        <f>SUM(O9:O13,O16,O17:O18,O21:O22,O25:O27)</f>
        <v>0</v>
      </c>
      <c r="P28" s="122" t="e">
        <f t="shared" ref="P28:Y28" si="7">SUM(P9:P13,P16,P17:P18,P21:P22,P25:P27)</f>
        <v>#REF!</v>
      </c>
      <c r="Q28" s="122" t="e">
        <f t="shared" si="7"/>
        <v>#REF!</v>
      </c>
      <c r="R28" s="122">
        <f t="shared" si="7"/>
        <v>0</v>
      </c>
      <c r="S28" s="122" t="e">
        <f t="shared" ref="S28" si="8">SUM(S9:S13,S16,S17:S18,S21:S22,S25:S27)</f>
        <v>#REF!</v>
      </c>
      <c r="T28" s="122" t="e">
        <f t="shared" si="7"/>
        <v>#REF!</v>
      </c>
      <c r="U28" s="122" t="e">
        <f>SUM(U9:U13,U16,U17:U18,U21:U22,U25:U27)</f>
        <v>#REF!</v>
      </c>
      <c r="V28" s="122" t="e">
        <f>SUM(V9:V13,V16,V17:V18,V21:V22,V25:V27)</f>
        <v>#REF!</v>
      </c>
      <c r="W28" s="122" t="e">
        <f>SUM(W9:W13,W16,W17:W18,W21:W22,W25:W27)</f>
        <v>#REF!</v>
      </c>
      <c r="X28" s="122">
        <f>SUM(X9:X13,X16,X17:X18,X21:X22,X25:X27)</f>
        <v>0</v>
      </c>
      <c r="Y28" s="160">
        <f t="shared" si="7"/>
        <v>0</v>
      </c>
      <c r="Z28" s="126" t="e">
        <f t="shared" si="0"/>
        <v>#REF!</v>
      </c>
      <c r="AA28" s="108">
        <f t="shared" ref="AA28:AA34" si="9">H28</f>
        <v>7033.43</v>
      </c>
      <c r="AB28" s="82" t="e">
        <f>AA28-Z28</f>
        <v>#REF!</v>
      </c>
    </row>
    <row r="29" spans="2:28" x14ac:dyDescent="0.3">
      <c r="B29" s="1" t="s">
        <v>340</v>
      </c>
      <c r="C29" s="2" t="s">
        <v>20</v>
      </c>
      <c r="D29" s="29">
        <v>1006</v>
      </c>
      <c r="E29" s="26"/>
      <c r="F29" s="18"/>
      <c r="G29" s="18">
        <v>147.74</v>
      </c>
      <c r="H29" s="78">
        <f t="shared" si="4"/>
        <v>1153.74</v>
      </c>
      <c r="I29" s="26">
        <f t="shared" si="5"/>
        <v>147.74</v>
      </c>
      <c r="J29" s="90">
        <f t="shared" si="6"/>
        <v>0.14685884691848908</v>
      </c>
      <c r="K29" s="26">
        <f t="shared" ref="K29:K33" si="10">H29-N29</f>
        <v>4.2799999999999727</v>
      </c>
      <c r="L29" s="90">
        <f t="shared" ref="L29:L33" si="11">IFERROR(K29/N29, "N/A")</f>
        <v>3.7234875506759455E-3</v>
      </c>
      <c r="N29" s="23">
        <f>IFERROR(INDEX('2022 CONG 2022 CP'!$F$8:$CG$300, MATCH('Full-year CR'!$N$4, '2022 CONG 2022 CP'!$A$8:$A$300, 0), MATCH('Full-year CR'!B29, '2022 CONG 2022 CP'!$F$3:$CG$3, 0)), 0)</f>
        <v>1149.46</v>
      </c>
      <c r="O29" s="116"/>
      <c r="P29" s="122"/>
      <c r="Q29" s="122"/>
      <c r="R29" s="216" t="e">
        <f>#REF!</f>
        <v>#REF!</v>
      </c>
      <c r="S29" s="122"/>
      <c r="T29" s="122"/>
      <c r="U29" s="122"/>
      <c r="V29" s="122"/>
      <c r="W29" s="122"/>
      <c r="X29" s="122"/>
      <c r="Y29" s="89"/>
      <c r="Z29" s="126" t="e">
        <f t="shared" si="0"/>
        <v>#REF!</v>
      </c>
      <c r="AA29" s="108">
        <f t="shared" si="9"/>
        <v>1153.74</v>
      </c>
      <c r="AB29" s="82" t="e">
        <f t="shared" ref="AB29:AB34" si="12">AA29-Z29</f>
        <v>#REF!</v>
      </c>
    </row>
    <row r="30" spans="2:28" x14ac:dyDescent="0.3">
      <c r="B30" s="1" t="s">
        <v>341</v>
      </c>
      <c r="C30" s="2" t="s">
        <v>21</v>
      </c>
      <c r="D30" s="29">
        <v>249</v>
      </c>
      <c r="E30" s="188">
        <v>-40</v>
      </c>
      <c r="F30" s="200">
        <v>-21.77</v>
      </c>
      <c r="G30" s="18"/>
      <c r="H30" s="78">
        <f t="shared" si="4"/>
        <v>187.23</v>
      </c>
      <c r="I30" s="26">
        <f t="shared" si="5"/>
        <v>-61.77000000000001</v>
      </c>
      <c r="J30" s="90">
        <f t="shared" si="6"/>
        <v>-0.24807228915662655</v>
      </c>
      <c r="K30" s="26">
        <f t="shared" si="10"/>
        <v>-53.29000000000002</v>
      </c>
      <c r="L30" s="90">
        <f t="shared" si="11"/>
        <v>-0.22156161649758863</v>
      </c>
      <c r="N30" s="23">
        <f>IFERROR(INDEX('2022 CONG 2022 CP'!$F$8:$CG$300, MATCH('Full-year CR'!$N$4, '2022 CONG 2022 CP'!$A$8:$A$300, 0), MATCH('Full-year CR'!B30, '2022 CONG 2022 CP'!$F$3:$CG$3, 0)), 0)</f>
        <v>240.52</v>
      </c>
      <c r="O30" s="116"/>
      <c r="P30" s="122"/>
      <c r="Q30" s="122"/>
      <c r="R30" s="122"/>
      <c r="S30" s="122"/>
      <c r="T30" s="122"/>
      <c r="U30" s="122"/>
      <c r="V30" s="122"/>
      <c r="W30" s="122"/>
      <c r="X30" s="122"/>
      <c r="Y30" s="89">
        <v>-53.29</v>
      </c>
      <c r="Z30" s="126">
        <f>SUM(N30:Y30)</f>
        <v>187.23000000000002</v>
      </c>
      <c r="AA30" s="108">
        <f t="shared" si="9"/>
        <v>187.23</v>
      </c>
      <c r="AB30" s="82">
        <f t="shared" si="12"/>
        <v>0</v>
      </c>
    </row>
    <row r="31" spans="2:28" x14ac:dyDescent="0.3">
      <c r="B31" s="1" t="s">
        <v>342</v>
      </c>
      <c r="C31" s="2" t="s">
        <v>22</v>
      </c>
      <c r="D31" s="29">
        <v>400</v>
      </c>
      <c r="E31" s="26">
        <v>40</v>
      </c>
      <c r="F31" s="18"/>
      <c r="G31" s="18"/>
      <c r="H31" s="78">
        <f t="shared" si="4"/>
        <v>440</v>
      </c>
      <c r="I31" s="26">
        <f t="shared" si="5"/>
        <v>40</v>
      </c>
      <c r="J31" s="90">
        <f t="shared" si="6"/>
        <v>0.1</v>
      </c>
      <c r="K31" s="26">
        <f t="shared" si="10"/>
        <v>15.100000000000023</v>
      </c>
      <c r="L31" s="90">
        <f t="shared" si="11"/>
        <v>3.5537773593786827E-2</v>
      </c>
      <c r="N31" s="23">
        <f>IFERROR(INDEX('2022 CONG 2022 CP'!$F$8:$CG$300, MATCH('Full-year CR'!$N$4, '2022 CONG 2022 CP'!$A$8:$A$300, 0), MATCH('Full-year CR'!B31, '2022 CONG 2022 CP'!$F$3:$CG$3, 0)), 0)</f>
        <v>424.9</v>
      </c>
      <c r="O31" s="213" t="e">
        <f>#REF!</f>
        <v>#REF!</v>
      </c>
      <c r="P31" s="122"/>
      <c r="Q31" s="122"/>
      <c r="R31" s="122"/>
      <c r="S31" s="122"/>
      <c r="T31" s="122"/>
      <c r="U31" s="122"/>
      <c r="V31" s="122"/>
      <c r="W31" s="122"/>
      <c r="X31" s="122"/>
      <c r="Y31" s="89"/>
      <c r="Z31" s="126" t="e">
        <f>SUM(N31:Y31)</f>
        <v>#REF!</v>
      </c>
      <c r="AA31" s="108">
        <f t="shared" si="9"/>
        <v>440</v>
      </c>
      <c r="AB31" s="82" t="e">
        <f>AA31-Z31</f>
        <v>#REF!</v>
      </c>
    </row>
    <row r="32" spans="2:28" x14ac:dyDescent="0.3">
      <c r="B32" s="1" t="s">
        <v>343</v>
      </c>
      <c r="C32" s="2" t="s">
        <v>23</v>
      </c>
      <c r="D32" s="29">
        <v>19</v>
      </c>
      <c r="E32" s="26"/>
      <c r="F32" s="18"/>
      <c r="G32" s="18"/>
      <c r="H32" s="78">
        <f t="shared" si="4"/>
        <v>19</v>
      </c>
      <c r="I32" s="26">
        <f t="shared" si="5"/>
        <v>0</v>
      </c>
      <c r="J32" s="90">
        <f t="shared" si="6"/>
        <v>0</v>
      </c>
      <c r="K32" s="26">
        <f t="shared" si="10"/>
        <v>0</v>
      </c>
      <c r="L32" s="90">
        <f t="shared" si="11"/>
        <v>0</v>
      </c>
      <c r="N32" s="23">
        <f>IFERROR(INDEX('2022 CONG 2022 CP'!$F$8:$CG$300, MATCH('Full-year CR'!$N$4, '2022 CONG 2022 CP'!$A$8:$A$300, 0), MATCH('Full-year CR'!B32, '2022 CONG 2022 CP'!$F$3:$CG$3, 0)), 0)</f>
        <v>19</v>
      </c>
      <c r="O32" s="116"/>
      <c r="P32" s="122"/>
      <c r="Q32" s="122"/>
      <c r="R32" s="122"/>
      <c r="S32" s="122"/>
      <c r="T32" s="122"/>
      <c r="U32" s="122"/>
      <c r="V32" s="122"/>
      <c r="W32" s="122"/>
      <c r="X32" s="122"/>
      <c r="Y32" s="89"/>
      <c r="Z32" s="126">
        <f>SUM(N32:Y32)</f>
        <v>19</v>
      </c>
      <c r="AA32" s="108">
        <f t="shared" si="9"/>
        <v>19</v>
      </c>
      <c r="AB32" s="82">
        <f t="shared" si="12"/>
        <v>0</v>
      </c>
    </row>
    <row r="33" spans="2:28" x14ac:dyDescent="0.3">
      <c r="B33" s="1" t="s">
        <v>344</v>
      </c>
      <c r="C33" s="93" t="s">
        <v>365</v>
      </c>
      <c r="D33" s="94">
        <v>4.5999999999999996</v>
      </c>
      <c r="E33" s="95"/>
      <c r="F33" s="96"/>
      <c r="G33" s="96"/>
      <c r="H33" s="97">
        <f t="shared" si="4"/>
        <v>4.5999999999999996</v>
      </c>
      <c r="I33" s="95">
        <f t="shared" si="5"/>
        <v>0</v>
      </c>
      <c r="J33" s="98">
        <f t="shared" si="6"/>
        <v>0</v>
      </c>
      <c r="K33" s="95">
        <f t="shared" si="10"/>
        <v>0</v>
      </c>
      <c r="L33" s="98">
        <f t="shared" si="11"/>
        <v>0</v>
      </c>
      <c r="N33" s="107">
        <f>IFERROR(INDEX('2022 CONG 2022 CP'!$F$8:$CG$300, MATCH('Full-year CR'!$N$4, '2022 CONG 2022 CP'!$A$8:$A$300, 0), MATCH('Full-year CR'!B33, '2022 CONG 2022 CP'!$F$3:$CG$3, 0)), 0)</f>
        <v>4.5999999999999996</v>
      </c>
      <c r="O33" s="117"/>
      <c r="P33" s="123"/>
      <c r="Q33" s="123"/>
      <c r="R33" s="123"/>
      <c r="S33" s="123"/>
      <c r="T33" s="123"/>
      <c r="U33" s="123"/>
      <c r="V33" s="123"/>
      <c r="W33" s="123"/>
      <c r="X33" s="123"/>
      <c r="Y33" s="112"/>
      <c r="Z33" s="127">
        <f>SUM(N33:Y33)</f>
        <v>4.5999999999999996</v>
      </c>
      <c r="AA33" s="109">
        <f t="shared" si="9"/>
        <v>4.5999999999999996</v>
      </c>
      <c r="AB33" s="105">
        <f t="shared" si="12"/>
        <v>0</v>
      </c>
    </row>
    <row r="34" spans="2:28" ht="16.2" thickBot="1" x14ac:dyDescent="0.4">
      <c r="B34" s="1" t="s">
        <v>333</v>
      </c>
      <c r="C34" s="99" t="s">
        <v>24</v>
      </c>
      <c r="D34" s="100">
        <v>8838</v>
      </c>
      <c r="E34" s="101">
        <f>SUM(E28,E29:E33)</f>
        <v>0</v>
      </c>
      <c r="F34" s="102">
        <f>SUM(F28,F29:F33)</f>
        <v>0</v>
      </c>
      <c r="G34" s="102">
        <f>SUM(G28,G29:G33)</f>
        <v>0</v>
      </c>
      <c r="H34" s="103">
        <f t="shared" si="4"/>
        <v>8838</v>
      </c>
      <c r="I34" s="101">
        <f t="shared" si="5"/>
        <v>0</v>
      </c>
      <c r="J34" s="104">
        <f t="shared" si="6"/>
        <v>0</v>
      </c>
      <c r="K34" s="101">
        <f>H34-N34</f>
        <v>0</v>
      </c>
      <c r="L34" s="104">
        <f>IFERROR(K34/N34, "N/A")</f>
        <v>0</v>
      </c>
      <c r="N34" s="111">
        <f>IFERROR(INDEX('2022 CONG 2022 CP'!$F$8:$CG$300, MATCH('Full-year CR'!$N$4, '2022 CONG 2022 CP'!$A$8:$A$300, 0), MATCH('Full-year CR'!B34, '2022 CONG 2022 CP'!$F$3:$CG$3, 0)), 0)</f>
        <v>8838</v>
      </c>
      <c r="O34" s="118" t="e">
        <f>SUM(O28,O29:O33)</f>
        <v>#REF!</v>
      </c>
      <c r="P34" s="124" t="e">
        <f t="shared" ref="P34:Y34" si="13">SUM(P28,P29:P33)</f>
        <v>#REF!</v>
      </c>
      <c r="Q34" s="124" t="e">
        <f t="shared" si="13"/>
        <v>#REF!</v>
      </c>
      <c r="R34" s="124" t="e">
        <f t="shared" si="13"/>
        <v>#REF!</v>
      </c>
      <c r="S34" s="124" t="e">
        <f t="shared" ref="S34" si="14">SUM(S28,S29:S33)</f>
        <v>#REF!</v>
      </c>
      <c r="T34" s="124" t="e">
        <f t="shared" si="13"/>
        <v>#REF!</v>
      </c>
      <c r="U34" s="124" t="e">
        <f t="shared" si="13"/>
        <v>#REF!</v>
      </c>
      <c r="V34" s="124" t="e">
        <f t="shared" si="13"/>
        <v>#REF!</v>
      </c>
      <c r="W34" s="124" t="e">
        <f t="shared" si="13"/>
        <v>#REF!</v>
      </c>
      <c r="X34" s="220" t="s">
        <v>376</v>
      </c>
      <c r="Y34" s="159">
        <f t="shared" si="13"/>
        <v>-53.29</v>
      </c>
      <c r="Z34" s="125" t="e">
        <f>SUM(N34:Y34)</f>
        <v>#REF!</v>
      </c>
      <c r="AA34" s="110">
        <f t="shared" si="9"/>
        <v>8838</v>
      </c>
      <c r="AB34" s="106" t="e">
        <f t="shared" si="12"/>
        <v>#REF!</v>
      </c>
    </row>
    <row r="35" spans="2:28" hidden="1" outlineLevel="1" x14ac:dyDescent="0.3">
      <c r="C35" s="12" t="s">
        <v>345</v>
      </c>
      <c r="D35" s="11">
        <f t="shared" ref="D35:H35" si="15">D34-SUM(D28,D29:D33)</f>
        <v>0</v>
      </c>
      <c r="E35" s="11">
        <f t="shared" si="15"/>
        <v>0</v>
      </c>
      <c r="F35" s="11">
        <f t="shared" si="15"/>
        <v>0</v>
      </c>
      <c r="G35" s="11">
        <f t="shared" si="15"/>
        <v>0</v>
      </c>
      <c r="H35" s="11">
        <f t="shared" si="15"/>
        <v>0</v>
      </c>
      <c r="I35" s="11"/>
      <c r="J35" s="11"/>
      <c r="K35" s="11"/>
      <c r="L35" s="11"/>
      <c r="M35" s="11"/>
      <c r="N35" s="11">
        <f t="shared" ref="N35:AB35" si="16">N34-SUM(N28,N29:N33)</f>
        <v>0</v>
      </c>
      <c r="O35" s="11" t="e">
        <f t="shared" si="16"/>
        <v>#REF!</v>
      </c>
      <c r="P35" s="11" t="e">
        <f t="shared" si="16"/>
        <v>#REF!</v>
      </c>
      <c r="Q35" s="11" t="e">
        <f t="shared" si="16"/>
        <v>#REF!</v>
      </c>
      <c r="R35" s="11" t="e">
        <f t="shared" si="16"/>
        <v>#REF!</v>
      </c>
      <c r="S35" s="11" t="e">
        <f t="shared" ref="S35" si="17">S34-SUM(S28,S29:S33)</f>
        <v>#REF!</v>
      </c>
      <c r="T35" s="11" t="e">
        <f t="shared" si="16"/>
        <v>#REF!</v>
      </c>
      <c r="U35" s="11" t="e">
        <f t="shared" si="16"/>
        <v>#REF!</v>
      </c>
      <c r="V35" s="11" t="e">
        <f t="shared" si="16"/>
        <v>#REF!</v>
      </c>
      <c r="W35" s="11" t="e">
        <f t="shared" si="16"/>
        <v>#REF!</v>
      </c>
      <c r="X35" s="11"/>
      <c r="Y35" s="11">
        <f t="shared" si="16"/>
        <v>0</v>
      </c>
      <c r="Z35" s="11" t="e">
        <f>Z34-SUM(Z28,Z29:Z33)</f>
        <v>#REF!</v>
      </c>
      <c r="AA35" s="11">
        <f t="shared" si="16"/>
        <v>0</v>
      </c>
      <c r="AB35" s="11" t="e">
        <f t="shared" si="16"/>
        <v>#REF!</v>
      </c>
    </row>
    <row r="36" spans="2:28" collapsed="1" x14ac:dyDescent="0.3">
      <c r="C36" s="10" t="s">
        <v>489</v>
      </c>
    </row>
    <row r="37" spans="2:28" x14ac:dyDescent="0.3">
      <c r="C37" s="10" t="s">
        <v>467</v>
      </c>
    </row>
    <row r="38" spans="2:28" x14ac:dyDescent="0.3">
      <c r="C38" s="10" t="s">
        <v>464</v>
      </c>
      <c r="D38" s="36"/>
    </row>
    <row r="39" spans="2:28" x14ac:dyDescent="0.3">
      <c r="C39" s="10" t="s">
        <v>491</v>
      </c>
      <c r="D39" s="36"/>
    </row>
    <row r="40" spans="2:28" x14ac:dyDescent="0.3">
      <c r="C40" s="189" t="s">
        <v>492</v>
      </c>
      <c r="D40" s="36"/>
    </row>
    <row r="41" spans="2:28" x14ac:dyDescent="0.3">
      <c r="C41" s="10"/>
      <c r="D41" s="36"/>
    </row>
    <row r="45" spans="2:28" x14ac:dyDescent="0.3">
      <c r="E45" s="201"/>
      <c r="O45" s="201">
        <f>N28/SUM(N28:N29)</f>
        <v>0.85894430959457502</v>
      </c>
    </row>
    <row r="46" spans="2:28" x14ac:dyDescent="0.3">
      <c r="E46" s="201"/>
      <c r="O46" s="201">
        <f>N29/SUM(N28:N29)</f>
        <v>0.14105569040542498</v>
      </c>
    </row>
  </sheetData>
  <mergeCells count="27">
    <mergeCell ref="T6:T8"/>
    <mergeCell ref="O5:Y5"/>
    <mergeCell ref="Z5:Z8"/>
    <mergeCell ref="AA5:AA8"/>
    <mergeCell ref="AB5:AB8"/>
    <mergeCell ref="U6:U8"/>
    <mergeCell ref="V6:V8"/>
    <mergeCell ref="W6:W8"/>
    <mergeCell ref="X6:X8"/>
    <mergeCell ref="Y6:Y8"/>
    <mergeCell ref="S6:S8"/>
    <mergeCell ref="I5:L5"/>
    <mergeCell ref="K6:L7"/>
    <mergeCell ref="D3:L3"/>
    <mergeCell ref="O6:O8"/>
    <mergeCell ref="P6:P8"/>
    <mergeCell ref="N3:AB3"/>
    <mergeCell ref="D5:D8"/>
    <mergeCell ref="E5:G5"/>
    <mergeCell ref="H5:H8"/>
    <mergeCell ref="N5:N8"/>
    <mergeCell ref="E6:E8"/>
    <mergeCell ref="F6:F8"/>
    <mergeCell ref="G6:G8"/>
    <mergeCell ref="I6:J7"/>
    <mergeCell ref="Q6:Q8"/>
    <mergeCell ref="R6:R8"/>
  </mergeCells>
  <conditionalFormatting sqref="AB28:AB34">
    <cfRule type="cellIs" dxfId="3" priority="2" operator="lessThan">
      <formula>0</formula>
    </cfRule>
  </conditionalFormatting>
  <conditionalFormatting sqref="E31">
    <cfRule type="cellIs" dxfId="2" priority="1" operator="greaterThan">
      <formula>40</formula>
    </cfRule>
  </conditionalFormatting>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4003-63E3-42F6-B5E2-F3CF2D1372B7}">
  <sheetPr>
    <tabColor theme="4" tint="0.79998168889431442"/>
  </sheetPr>
  <dimension ref="B1:AE49"/>
  <sheetViews>
    <sheetView showGridLines="0" zoomScale="120" zoomScaleNormal="120" workbookViewId="0">
      <pane xSplit="3" ySplit="8" topLeftCell="D28" activePane="bottomRight" state="frozen"/>
      <selection activeCell="J30" sqref="J30"/>
      <selection pane="topRight" activeCell="J30" sqref="J30"/>
      <selection pane="bottomLeft" activeCell="J30" sqref="J30"/>
      <selection pane="bottomRight" activeCell="J50" sqref="J50"/>
    </sheetView>
  </sheetViews>
  <sheetFormatPr defaultColWidth="9.33203125" defaultRowHeight="13.2" outlineLevelRow="2" outlineLevelCol="2" x14ac:dyDescent="0.3"/>
  <cols>
    <col min="1" max="1" width="2.6640625" style="1" customWidth="1"/>
    <col min="2" max="2" width="9.33203125" style="1" hidden="1" customWidth="1" outlineLevel="1"/>
    <col min="3" max="3" width="46.5546875" style="1" bestFit="1" customWidth="1" collapsed="1"/>
    <col min="4" max="6" width="10.6640625" style="1" customWidth="1" outlineLevel="1"/>
    <col min="7" max="9" width="10.6640625" style="1" hidden="1" customWidth="1" outlineLevel="2"/>
    <col min="10" max="10" width="10.6640625" style="1" customWidth="1" outlineLevel="1" collapsed="1"/>
    <col min="11" max="14" width="10.6640625" style="1" customWidth="1" outlineLevel="1"/>
    <col min="15" max="15" width="3.5546875" style="1" customWidth="1"/>
    <col min="16" max="16" width="10.6640625" style="1" hidden="1" customWidth="1" outlineLevel="1" collapsed="1"/>
    <col min="17" max="30" width="10.6640625" style="1" hidden="1" customWidth="1" outlineLevel="1"/>
    <col min="31" max="31" width="10.6640625" style="1" customWidth="1" collapsed="1"/>
    <col min="32" max="163" width="10.6640625" style="1" customWidth="1"/>
    <col min="164" max="16384" width="9.33203125" style="1"/>
  </cols>
  <sheetData>
    <row r="1" spans="2:30" ht="15.6" x14ac:dyDescent="0.35">
      <c r="C1" s="211" t="s">
        <v>504</v>
      </c>
    </row>
    <row r="2" spans="2:30" x14ac:dyDescent="0.3">
      <c r="C2" s="174" t="s">
        <v>469</v>
      </c>
    </row>
    <row r="3" spans="2:30" ht="13.8" thickBot="1" x14ac:dyDescent="0.35">
      <c r="D3" s="836" t="s">
        <v>445</v>
      </c>
      <c r="E3" s="836"/>
      <c r="F3" s="836"/>
      <c r="G3" s="836"/>
      <c r="H3" s="836"/>
      <c r="I3" s="836"/>
      <c r="J3" s="836"/>
      <c r="K3" s="836"/>
      <c r="L3" s="836"/>
      <c r="M3" s="836"/>
      <c r="N3" s="836"/>
      <c r="P3" s="836" t="s">
        <v>446</v>
      </c>
      <c r="Q3" s="836"/>
      <c r="R3" s="836"/>
      <c r="S3" s="836"/>
      <c r="T3" s="836"/>
      <c r="U3" s="836"/>
      <c r="V3" s="836"/>
      <c r="W3" s="836"/>
      <c r="X3" s="836"/>
      <c r="Y3" s="836"/>
      <c r="Z3" s="836"/>
      <c r="AA3" s="836"/>
      <c r="AB3" s="836"/>
      <c r="AC3" s="836"/>
      <c r="AD3" s="836"/>
    </row>
    <row r="4" spans="2:30" ht="13.8" hidden="1" outlineLevel="1" thickBot="1" x14ac:dyDescent="0.35">
      <c r="P4" s="1" t="s">
        <v>339</v>
      </c>
    </row>
    <row r="5" spans="2:30" s="91" customFormat="1" ht="14.85" customHeight="1" collapsed="1" x14ac:dyDescent="0.3">
      <c r="C5" s="92"/>
      <c r="D5" s="939" t="s">
        <v>443</v>
      </c>
      <c r="E5" s="977" t="s">
        <v>441</v>
      </c>
      <c r="F5" s="939" t="s">
        <v>503</v>
      </c>
      <c r="G5" s="926" t="s">
        <v>423</v>
      </c>
      <c r="H5" s="927"/>
      <c r="I5" s="927"/>
      <c r="J5" s="942" t="s">
        <v>371</v>
      </c>
      <c r="K5" s="926" t="s">
        <v>442</v>
      </c>
      <c r="L5" s="927"/>
      <c r="M5" s="927"/>
      <c r="N5" s="928"/>
      <c r="P5" s="945" t="s">
        <v>444</v>
      </c>
      <c r="Q5" s="950" t="s">
        <v>440</v>
      </c>
      <c r="R5" s="951"/>
      <c r="S5" s="951"/>
      <c r="T5" s="951"/>
      <c r="U5" s="951"/>
      <c r="V5" s="951"/>
      <c r="W5" s="951"/>
      <c r="X5" s="951"/>
      <c r="Y5" s="951"/>
      <c r="Z5" s="951"/>
      <c r="AA5" s="952"/>
      <c r="AB5" s="953" t="s">
        <v>404</v>
      </c>
      <c r="AC5" s="956" t="s">
        <v>371</v>
      </c>
      <c r="AD5" s="959" t="s">
        <v>426</v>
      </c>
    </row>
    <row r="6" spans="2:30" ht="14.85" customHeight="1" x14ac:dyDescent="0.3">
      <c r="D6" s="940"/>
      <c r="E6" s="948"/>
      <c r="F6" s="940"/>
      <c r="G6" s="948" t="s">
        <v>425</v>
      </c>
      <c r="H6" s="823" t="s">
        <v>424</v>
      </c>
      <c r="I6" s="823" t="s">
        <v>490</v>
      </c>
      <c r="J6" s="943"/>
      <c r="K6" s="967" t="s">
        <v>375</v>
      </c>
      <c r="L6" s="968"/>
      <c r="M6" s="967" t="s">
        <v>372</v>
      </c>
      <c r="N6" s="968"/>
      <c r="P6" s="946"/>
      <c r="Q6" s="933" t="s">
        <v>448</v>
      </c>
      <c r="R6" s="936" t="s">
        <v>507</v>
      </c>
      <c r="S6" s="936" t="s">
        <v>496</v>
      </c>
      <c r="T6" s="936" t="s">
        <v>438</v>
      </c>
      <c r="U6" s="936" t="s">
        <v>512</v>
      </c>
      <c r="V6" s="936" t="s">
        <v>508</v>
      </c>
      <c r="W6" s="936" t="s">
        <v>509</v>
      </c>
      <c r="X6" s="936" t="s">
        <v>38</v>
      </c>
      <c r="Y6" s="936" t="s">
        <v>510</v>
      </c>
      <c r="Z6" s="962" t="s">
        <v>511</v>
      </c>
      <c r="AA6" s="823" t="s">
        <v>466</v>
      </c>
      <c r="AB6" s="954"/>
      <c r="AC6" s="957"/>
      <c r="AD6" s="960"/>
    </row>
    <row r="7" spans="2:30" ht="14.85" customHeight="1" x14ac:dyDescent="0.3">
      <c r="D7" s="940"/>
      <c r="E7" s="948"/>
      <c r="F7" s="940"/>
      <c r="G7" s="948"/>
      <c r="H7" s="823"/>
      <c r="I7" s="823"/>
      <c r="J7" s="943"/>
      <c r="K7" s="931"/>
      <c r="L7" s="932"/>
      <c r="M7" s="931"/>
      <c r="N7" s="932"/>
      <c r="P7" s="946"/>
      <c r="Q7" s="934"/>
      <c r="R7" s="937"/>
      <c r="S7" s="937"/>
      <c r="T7" s="937"/>
      <c r="U7" s="937"/>
      <c r="V7" s="937"/>
      <c r="W7" s="937"/>
      <c r="X7" s="937"/>
      <c r="Y7" s="937"/>
      <c r="Z7" s="937"/>
      <c r="AA7" s="963"/>
      <c r="AB7" s="954"/>
      <c r="AC7" s="957"/>
      <c r="AD7" s="960"/>
    </row>
    <row r="8" spans="2:30" ht="14.85" customHeight="1" x14ac:dyDescent="0.3">
      <c r="C8" s="14"/>
      <c r="D8" s="941"/>
      <c r="E8" s="949"/>
      <c r="F8" s="941"/>
      <c r="G8" s="949"/>
      <c r="H8" s="824"/>
      <c r="I8" s="824"/>
      <c r="J8" s="944"/>
      <c r="K8" s="49" t="s">
        <v>377</v>
      </c>
      <c r="L8" s="60" t="s">
        <v>378</v>
      </c>
      <c r="M8" s="49" t="s">
        <v>377</v>
      </c>
      <c r="N8" s="60" t="s">
        <v>378</v>
      </c>
      <c r="P8" s="947"/>
      <c r="Q8" s="935"/>
      <c r="R8" s="938"/>
      <c r="S8" s="938"/>
      <c r="T8" s="938"/>
      <c r="U8" s="938"/>
      <c r="V8" s="938"/>
      <c r="W8" s="938"/>
      <c r="X8" s="938"/>
      <c r="Y8" s="938"/>
      <c r="Z8" s="938"/>
      <c r="AA8" s="964"/>
      <c r="AB8" s="955"/>
      <c r="AC8" s="958"/>
      <c r="AD8" s="961"/>
    </row>
    <row r="9" spans="2:30" hidden="1" outlineLevel="1" x14ac:dyDescent="0.3">
      <c r="B9" s="1" t="s">
        <v>325</v>
      </c>
      <c r="C9" s="1" t="s">
        <v>0</v>
      </c>
      <c r="D9" s="41"/>
      <c r="E9" s="19"/>
      <c r="F9" s="41"/>
      <c r="G9" s="19"/>
      <c r="H9" s="24"/>
      <c r="I9" s="24"/>
      <c r="J9" s="19"/>
      <c r="K9" s="19"/>
      <c r="L9" s="39"/>
      <c r="M9" s="24"/>
      <c r="N9" s="24"/>
      <c r="P9" s="144">
        <f>IFERROR(INDEX('2022 CONG 2022 CP'!$F$8:$CG$300, MATCH('+4% Scenario'!$P$4, '2022 CONG 2022 CP'!$A$8:$A$300, 0), MATCH('+4% Scenario'!B9, '2022 CONG 2022 CP'!$F$3:$CG$3, 0)), 0)</f>
        <v>831.73</v>
      </c>
      <c r="Q9" s="113"/>
      <c r="R9" s="119"/>
      <c r="S9" s="119"/>
      <c r="T9" s="119"/>
      <c r="U9" s="119"/>
      <c r="V9" s="119"/>
      <c r="W9" s="119"/>
      <c r="X9" s="119"/>
      <c r="Y9" s="119"/>
      <c r="Z9" s="119"/>
      <c r="AA9" s="37"/>
      <c r="AB9" s="128">
        <f t="shared" ref="AB9:AB33" si="0">SUM(P9:AA9)</f>
        <v>831.73</v>
      </c>
      <c r="AC9" s="41"/>
      <c r="AD9" s="41"/>
    </row>
    <row r="10" spans="2:30" hidden="1" outlineLevel="1" x14ac:dyDescent="0.3">
      <c r="B10" s="1" t="s">
        <v>326</v>
      </c>
      <c r="C10" s="1" t="s">
        <v>1</v>
      </c>
      <c r="D10" s="42"/>
      <c r="E10" s="20"/>
      <c r="F10" s="42"/>
      <c r="G10" s="20"/>
      <c r="H10" s="25"/>
      <c r="I10" s="25"/>
      <c r="J10" s="20"/>
      <c r="K10" s="20"/>
      <c r="L10" s="40"/>
      <c r="M10" s="25"/>
      <c r="N10" s="25"/>
      <c r="P10" s="145">
        <f>IFERROR(INDEX('2022 CONG 2022 CP'!$F$8:$CG$300, MATCH('+4% Scenario'!$P$4, '2022 CONG 2022 CP'!$A$8:$A$300, 0), MATCH('+4% Scenario'!B10, '2022 CONG 2022 CP'!$F$3:$CG$3, 0)), 0)</f>
        <v>1015.57</v>
      </c>
      <c r="Q10" s="114"/>
      <c r="R10" s="120"/>
      <c r="S10" s="120"/>
      <c r="T10" s="120"/>
      <c r="U10" s="120"/>
      <c r="V10" s="120"/>
      <c r="W10" s="120"/>
      <c r="X10" s="120"/>
      <c r="Y10" s="120"/>
      <c r="Z10" s="120"/>
      <c r="AA10" s="38"/>
      <c r="AB10" s="129">
        <f t="shared" si="0"/>
        <v>1015.57</v>
      </c>
      <c r="AC10" s="42"/>
      <c r="AD10" s="42"/>
    </row>
    <row r="11" spans="2:30" hidden="1" outlineLevel="1" x14ac:dyDescent="0.3">
      <c r="B11" s="1" t="s">
        <v>327</v>
      </c>
      <c r="C11" s="1" t="s">
        <v>2</v>
      </c>
      <c r="D11" s="42"/>
      <c r="E11" s="20"/>
      <c r="F11" s="42"/>
      <c r="G11" s="20"/>
      <c r="H11" s="25"/>
      <c r="I11" s="25"/>
      <c r="J11" s="20"/>
      <c r="K11" s="20"/>
      <c r="L11" s="40"/>
      <c r="M11" s="25"/>
      <c r="N11" s="25"/>
      <c r="P11" s="145">
        <f>IFERROR(INDEX('2022 CONG 2022 CP'!$F$8:$CG$300, MATCH('+4% Scenario'!$P$4, '2022 CONG 2022 CP'!$A$8:$A$300, 0), MATCH('+4% Scenario'!B11, '2022 CONG 2022 CP'!$F$3:$CG$3, 0)), 0)</f>
        <v>774.8</v>
      </c>
      <c r="Q11" s="114"/>
      <c r="R11" s="120"/>
      <c r="S11" s="120"/>
      <c r="T11" s="120"/>
      <c r="U11" s="120"/>
      <c r="V11" s="120"/>
      <c r="W11" s="120"/>
      <c r="X11" s="120"/>
      <c r="Y11" s="120"/>
      <c r="Z11" s="120"/>
      <c r="AA11" s="38"/>
      <c r="AB11" s="129">
        <f t="shared" si="0"/>
        <v>774.8</v>
      </c>
      <c r="AC11" s="42"/>
      <c r="AD11" s="42"/>
    </row>
    <row r="12" spans="2:30" hidden="1" outlineLevel="1" x14ac:dyDescent="0.3">
      <c r="B12" s="1" t="s">
        <v>328</v>
      </c>
      <c r="C12" s="1" t="s">
        <v>3</v>
      </c>
      <c r="D12" s="42"/>
      <c r="E12" s="20"/>
      <c r="F12" s="42"/>
      <c r="G12" s="20"/>
      <c r="H12" s="25"/>
      <c r="I12" s="25"/>
      <c r="J12" s="20"/>
      <c r="K12" s="20"/>
      <c r="L12" s="40"/>
      <c r="M12" s="25"/>
      <c r="N12" s="25"/>
      <c r="P12" s="145">
        <f>IFERROR(INDEX('2022 CONG 2022 CP'!$F$8:$CG$300, MATCH('+4% Scenario'!$P$4, '2022 CONG 2022 CP'!$A$8:$A$300, 0), MATCH('+4% Scenario'!B12, '2022 CONG 2022 CP'!$F$3:$CG$3, 0)), 0)-P14</f>
        <v>1033.46</v>
      </c>
      <c r="Q12" s="114"/>
      <c r="R12" s="120"/>
      <c r="S12" s="120"/>
      <c r="T12" s="120"/>
      <c r="U12" s="120"/>
      <c r="V12" s="120"/>
      <c r="W12" s="120"/>
      <c r="X12" s="120"/>
      <c r="Y12" s="120"/>
      <c r="Z12" s="120"/>
      <c r="AA12" s="161"/>
      <c r="AB12" s="129">
        <f t="shared" si="0"/>
        <v>1033.46</v>
      </c>
      <c r="AC12" s="42"/>
      <c r="AD12" s="42"/>
    </row>
    <row r="13" spans="2:30" hidden="1" outlineLevel="1" x14ac:dyDescent="0.3">
      <c r="C13" s="1" t="s">
        <v>4</v>
      </c>
      <c r="D13" s="42"/>
      <c r="E13" s="20"/>
      <c r="F13" s="42"/>
      <c r="G13" s="20"/>
      <c r="H13" s="25"/>
      <c r="I13" s="25"/>
      <c r="J13" s="20"/>
      <c r="K13" s="20"/>
      <c r="L13" s="40"/>
      <c r="M13" s="25"/>
      <c r="N13" s="25"/>
      <c r="P13" s="145">
        <f>SUM(P14:P15)</f>
        <v>532.43000000000006</v>
      </c>
      <c r="Q13" s="114">
        <f>SUM(Q14:Q15)</f>
        <v>0</v>
      </c>
      <c r="R13" s="120">
        <f t="shared" ref="R13:Y13" si="1">SUM(R14:R15)</f>
        <v>0</v>
      </c>
      <c r="S13" s="120">
        <f t="shared" si="1"/>
        <v>0</v>
      </c>
      <c r="T13" s="120">
        <f>SUM(T14:T15)</f>
        <v>0</v>
      </c>
      <c r="U13" s="120">
        <f t="shared" ref="U13" si="2">SUM(U14:U15)</f>
        <v>0</v>
      </c>
      <c r="V13" s="120">
        <f>SUM(V14:V15)</f>
        <v>0</v>
      </c>
      <c r="W13" s="120">
        <f t="shared" si="1"/>
        <v>0</v>
      </c>
      <c r="X13" s="120" t="e">
        <f>SUM(X14:X15)</f>
        <v>#REF!</v>
      </c>
      <c r="Y13" s="120">
        <f t="shared" si="1"/>
        <v>0</v>
      </c>
      <c r="Z13" s="120">
        <f>SUM(Z14:Z15)</f>
        <v>0</v>
      </c>
      <c r="AA13" s="161">
        <f>SUM(AA14:AA15)</f>
        <v>0</v>
      </c>
      <c r="AB13" s="129" t="e">
        <f t="shared" si="0"/>
        <v>#REF!</v>
      </c>
      <c r="AC13" s="42"/>
      <c r="AD13" s="42"/>
    </row>
    <row r="14" spans="2:30" s="131" customFormat="1" ht="14.85" hidden="1" customHeight="1" outlineLevel="2" x14ac:dyDescent="0.3">
      <c r="B14" s="131" t="s">
        <v>334</v>
      </c>
      <c r="C14" s="132" t="s">
        <v>5</v>
      </c>
      <c r="D14" s="44"/>
      <c r="E14" s="22"/>
      <c r="F14" s="44"/>
      <c r="G14" s="22"/>
      <c r="H14" s="27"/>
      <c r="I14" s="27"/>
      <c r="J14" s="22"/>
      <c r="K14" s="22"/>
      <c r="L14" s="45"/>
      <c r="M14" s="27"/>
      <c r="N14" s="27"/>
      <c r="O14" s="133"/>
      <c r="P14" s="146">
        <f>IFERROR(INDEX('2022 CONG 2022 CP'!$F$8:$CG$300, MATCH('+4% Scenario'!$P$4, '2022 CONG 2022 CP'!$A$8:$A$300, 0), MATCH('+4% Scenario'!B14, '2022 CONG 2022 CP'!$F$3:$CG$3, 0)), 0)</f>
        <v>447.43</v>
      </c>
      <c r="Q14" s="212"/>
      <c r="R14" s="134"/>
      <c r="S14" s="134"/>
      <c r="T14" s="134"/>
      <c r="U14" s="134"/>
      <c r="V14" s="134"/>
      <c r="W14" s="134"/>
      <c r="X14" s="134"/>
      <c r="Y14" s="134"/>
      <c r="Z14" s="134"/>
      <c r="AA14" s="219"/>
      <c r="AB14" s="135">
        <f t="shared" si="0"/>
        <v>447.43</v>
      </c>
      <c r="AC14" s="44"/>
      <c r="AD14" s="44"/>
    </row>
    <row r="15" spans="2:30" s="131" customFormat="1" ht="14.85" hidden="1" customHeight="1" outlineLevel="2" x14ac:dyDescent="0.3">
      <c r="B15" s="131" t="s">
        <v>335</v>
      </c>
      <c r="C15" s="132" t="s">
        <v>6</v>
      </c>
      <c r="D15" s="44"/>
      <c r="E15" s="22"/>
      <c r="F15" s="44"/>
      <c r="G15" s="22"/>
      <c r="H15" s="27"/>
      <c r="I15" s="27"/>
      <c r="J15" s="22"/>
      <c r="K15" s="22"/>
      <c r="L15" s="45"/>
      <c r="M15" s="27"/>
      <c r="N15" s="27"/>
      <c r="O15" s="133"/>
      <c r="P15" s="146">
        <f>IFERROR(INDEX('2022 CONG 2022 CP'!$F$8:$CG$300, MATCH('+4% Scenario'!$P$4, '2022 CONG 2022 CP'!$A$8:$A$300, 0), MATCH('+4% Scenario'!B15, '2022 CONG 2022 CP'!$F$3:$CG$3, 0)), 0)</f>
        <v>85</v>
      </c>
      <c r="Q15" s="212"/>
      <c r="R15" s="134"/>
      <c r="S15" s="134"/>
      <c r="T15" s="134"/>
      <c r="U15" s="134"/>
      <c r="V15" s="134"/>
      <c r="W15" s="134"/>
      <c r="X15" s="218" t="e">
        <f>#REF!</f>
        <v>#REF!</v>
      </c>
      <c r="Y15" s="134"/>
      <c r="Z15" s="134"/>
      <c r="AA15" s="219"/>
      <c r="AB15" s="135" t="e">
        <f t="shared" si="0"/>
        <v>#REF!</v>
      </c>
      <c r="AC15" s="44"/>
      <c r="AD15" s="44"/>
    </row>
    <row r="16" spans="2:30" hidden="1" outlineLevel="1" collapsed="1" x14ac:dyDescent="0.3">
      <c r="B16" s="1" t="s">
        <v>329</v>
      </c>
      <c r="C16" s="1" t="s">
        <v>7</v>
      </c>
      <c r="D16" s="42"/>
      <c r="E16" s="20"/>
      <c r="F16" s="42"/>
      <c r="G16" s="20"/>
      <c r="H16" s="25"/>
      <c r="I16" s="25"/>
      <c r="J16" s="20"/>
      <c r="K16" s="20"/>
      <c r="L16" s="40"/>
      <c r="M16" s="25"/>
      <c r="N16" s="25"/>
      <c r="P16" s="145">
        <f>IFERROR(INDEX('2022 CONG 2022 CP'!$F$8:$CG$300, MATCH('+4% Scenario'!$P$4, '2022 CONG 2022 CP'!$A$8:$A$300, 0), MATCH('+4% Scenario'!B16, '2022 CONG 2022 CP'!$F$3:$CG$3, 0)), 0)</f>
        <v>1612.9</v>
      </c>
      <c r="Q16" s="114"/>
      <c r="R16" s="120"/>
      <c r="S16" s="215" t="e">
        <f>#REF!</f>
        <v>#REF!</v>
      </c>
      <c r="T16" s="120"/>
      <c r="U16" s="120"/>
      <c r="V16" s="120"/>
      <c r="W16" s="120"/>
      <c r="X16" s="120"/>
      <c r="Y16" s="120"/>
      <c r="Z16" s="120"/>
      <c r="AA16" s="161"/>
      <c r="AB16" s="129" t="e">
        <f t="shared" si="0"/>
        <v>#REF!</v>
      </c>
      <c r="AC16" s="42"/>
      <c r="AD16" s="42"/>
    </row>
    <row r="17" spans="2:30" hidden="1" outlineLevel="1" x14ac:dyDescent="0.3">
      <c r="B17" s="1" t="s">
        <v>330</v>
      </c>
      <c r="C17" s="1" t="s">
        <v>8</v>
      </c>
      <c r="D17" s="42"/>
      <c r="E17" s="20"/>
      <c r="F17" s="42"/>
      <c r="G17" s="20"/>
      <c r="H17" s="25"/>
      <c r="I17" s="25"/>
      <c r="J17" s="20"/>
      <c r="K17" s="20"/>
      <c r="L17" s="40"/>
      <c r="M17" s="25"/>
      <c r="N17" s="25"/>
      <c r="P17" s="145">
        <f>IFERROR(INDEX('2022 CONG 2022 CP'!$F$8:$CG$300, MATCH('+4% Scenario'!$P$4, '2022 CONG 2022 CP'!$A$8:$A$300, 0), MATCH('+4% Scenario'!B17, '2022 CONG 2022 CP'!$F$3:$CG$3, 0)), 0)</f>
        <v>285.82</v>
      </c>
      <c r="Q17" s="114"/>
      <c r="R17" s="120"/>
      <c r="S17" s="120"/>
      <c r="T17" s="120"/>
      <c r="U17" s="120"/>
      <c r="V17" s="120"/>
      <c r="W17" s="215" t="e">
        <f>#REF!</f>
        <v>#REF!</v>
      </c>
      <c r="X17" s="120"/>
      <c r="Y17" s="120"/>
      <c r="Z17" s="120"/>
      <c r="AA17" s="161"/>
      <c r="AB17" s="129" t="e">
        <f t="shared" si="0"/>
        <v>#REF!</v>
      </c>
      <c r="AC17" s="42"/>
      <c r="AD17" s="42"/>
    </row>
    <row r="18" spans="2:30" hidden="1" outlineLevel="1" x14ac:dyDescent="0.3">
      <c r="C18" s="1" t="s">
        <v>9</v>
      </c>
      <c r="D18" s="42"/>
      <c r="E18" s="20"/>
      <c r="F18" s="42"/>
      <c r="G18" s="20"/>
      <c r="H18" s="25"/>
      <c r="I18" s="25"/>
      <c r="J18" s="20"/>
      <c r="K18" s="20"/>
      <c r="L18" s="40"/>
      <c r="M18" s="25"/>
      <c r="N18" s="25"/>
      <c r="P18" s="145">
        <f>SUM(P19:P20)</f>
        <v>450</v>
      </c>
      <c r="Q18" s="114">
        <f>SUM(Q19:Q20)</f>
        <v>0</v>
      </c>
      <c r="R18" s="120">
        <f t="shared" ref="R18:Y18" si="3">SUM(R19:R20)</f>
        <v>0</v>
      </c>
      <c r="S18" s="120">
        <f t="shared" si="3"/>
        <v>0</v>
      </c>
      <c r="T18" s="120">
        <f>SUM(T19:T20)</f>
        <v>0</v>
      </c>
      <c r="U18" s="120" t="e">
        <f t="shared" ref="U18" si="4">SUM(U19:U20)</f>
        <v>#REF!</v>
      </c>
      <c r="V18" s="120">
        <f>SUM(V19:V20)</f>
        <v>0</v>
      </c>
      <c r="W18" s="120">
        <f t="shared" si="3"/>
        <v>0</v>
      </c>
      <c r="X18" s="120">
        <f>SUM(X19:X20)</f>
        <v>0</v>
      </c>
      <c r="Y18" s="120">
        <f t="shared" si="3"/>
        <v>0</v>
      </c>
      <c r="Z18" s="120">
        <f>SUM(Z19:Z20)</f>
        <v>0</v>
      </c>
      <c r="AA18" s="161">
        <f>SUM(AA19:AA20)</f>
        <v>0</v>
      </c>
      <c r="AB18" s="129" t="e">
        <f t="shared" si="0"/>
        <v>#REF!</v>
      </c>
      <c r="AC18" s="42"/>
      <c r="AD18" s="42"/>
    </row>
    <row r="19" spans="2:30" s="131" customFormat="1" ht="14.85" hidden="1" customHeight="1" outlineLevel="2" x14ac:dyDescent="0.3">
      <c r="B19" s="131" t="s">
        <v>331</v>
      </c>
      <c r="C19" s="132" t="s">
        <v>10</v>
      </c>
      <c r="D19" s="44"/>
      <c r="E19" s="22"/>
      <c r="F19" s="44"/>
      <c r="G19" s="22"/>
      <c r="H19" s="27"/>
      <c r="I19" s="27"/>
      <c r="J19" s="22"/>
      <c r="K19" s="22"/>
      <c r="L19" s="45"/>
      <c r="M19" s="27"/>
      <c r="N19" s="27"/>
      <c r="O19" s="133"/>
      <c r="P19" s="146">
        <f>IFERROR(INDEX('2022 CONG 2022 CP'!$F$8:$CG$300, MATCH('+4% Scenario'!$P$4, '2022 CONG 2022 CP'!$A$8:$A$300, 0), MATCH('+4% Scenario'!B19, '2022 CONG 2022 CP'!$F$3:$CG$3, 0)), 0)-P20</f>
        <v>214</v>
      </c>
      <c r="Q19" s="212"/>
      <c r="R19" s="134"/>
      <c r="S19" s="134"/>
      <c r="T19" s="134"/>
      <c r="U19" s="218" t="e">
        <f>#REF!</f>
        <v>#REF!</v>
      </c>
      <c r="V19" s="134"/>
      <c r="W19" s="134"/>
      <c r="X19" s="134"/>
      <c r="Y19" s="134"/>
      <c r="Z19" s="134"/>
      <c r="AA19" s="219"/>
      <c r="AB19" s="135" t="e">
        <f t="shared" si="0"/>
        <v>#REF!</v>
      </c>
      <c r="AC19" s="44"/>
      <c r="AD19" s="44"/>
    </row>
    <row r="20" spans="2:30" s="131" customFormat="1" ht="14.85" hidden="1" customHeight="1" outlineLevel="2" x14ac:dyDescent="0.3">
      <c r="B20" s="131" t="s">
        <v>434</v>
      </c>
      <c r="C20" s="132" t="s">
        <v>11</v>
      </c>
      <c r="D20" s="44"/>
      <c r="E20" s="22"/>
      <c r="F20" s="44"/>
      <c r="G20" s="22"/>
      <c r="H20" s="27"/>
      <c r="I20" s="27"/>
      <c r="J20" s="22"/>
      <c r="K20" s="22"/>
      <c r="L20" s="45"/>
      <c r="M20" s="27"/>
      <c r="N20" s="27"/>
      <c r="O20" s="133"/>
      <c r="P20" s="146">
        <f>SUM('2022 CONG 2022 CP'!BB57:BB59)</f>
        <v>236</v>
      </c>
      <c r="Q20" s="212"/>
      <c r="R20" s="134"/>
      <c r="S20" s="134"/>
      <c r="T20" s="134"/>
      <c r="U20" s="134"/>
      <c r="V20" s="134"/>
      <c r="W20" s="134"/>
      <c r="X20" s="134"/>
      <c r="Y20" s="134"/>
      <c r="Z20" s="134"/>
      <c r="AA20" s="219"/>
      <c r="AB20" s="135">
        <f t="shared" si="0"/>
        <v>236</v>
      </c>
      <c r="AC20" s="44"/>
      <c r="AD20" s="44"/>
    </row>
    <row r="21" spans="2:30" hidden="1" outlineLevel="1" collapsed="1" x14ac:dyDescent="0.3">
      <c r="B21" s="1" t="s">
        <v>332</v>
      </c>
      <c r="C21" s="1" t="s">
        <v>12</v>
      </c>
      <c r="D21" s="42"/>
      <c r="E21" s="20"/>
      <c r="F21" s="42"/>
      <c r="G21" s="20"/>
      <c r="H21" s="25"/>
      <c r="I21" s="25"/>
      <c r="J21" s="20"/>
      <c r="K21" s="20"/>
      <c r="L21" s="40"/>
      <c r="M21" s="25"/>
      <c r="N21" s="25"/>
      <c r="P21" s="145">
        <f>IFERROR(INDEX('2022 CONG 2022 CP'!$F$8:$CG$300, MATCH('+4% Scenario'!$P$4, '2022 CONG 2022 CP'!$A$8:$A$300, 0), MATCH('+4% Scenario'!B21, '2022 CONG 2022 CP'!$F$3:$CG$3, 0)), 0)</f>
        <v>61.32</v>
      </c>
      <c r="Q21" s="114"/>
      <c r="R21" s="120"/>
      <c r="S21" s="120"/>
      <c r="T21" s="120"/>
      <c r="U21" s="120"/>
      <c r="V21" s="120"/>
      <c r="W21" s="120"/>
      <c r="X21" s="120"/>
      <c r="Y21" s="120"/>
      <c r="Z21" s="120"/>
      <c r="AA21" s="161"/>
      <c r="AB21" s="129">
        <f t="shared" si="0"/>
        <v>61.32</v>
      </c>
      <c r="AC21" s="42"/>
      <c r="AD21" s="42"/>
    </row>
    <row r="22" spans="2:30" hidden="1" outlineLevel="1" x14ac:dyDescent="0.3">
      <c r="C22" s="1" t="s">
        <v>13</v>
      </c>
      <c r="D22" s="42"/>
      <c r="E22" s="20"/>
      <c r="F22" s="42"/>
      <c r="G22" s="20"/>
      <c r="H22" s="25"/>
      <c r="I22" s="25"/>
      <c r="J22" s="20"/>
      <c r="K22" s="20"/>
      <c r="L22" s="40"/>
      <c r="M22" s="25"/>
      <c r="N22" s="25"/>
      <c r="P22" s="145">
        <f>SUM(P23:P24)</f>
        <v>399.83000000000004</v>
      </c>
      <c r="Q22" s="114">
        <f>SUM(Q23:Q24)</f>
        <v>0</v>
      </c>
      <c r="R22" s="120">
        <f t="shared" ref="R22:Y22" si="5">SUM(R23:R24)</f>
        <v>0</v>
      </c>
      <c r="S22" s="120">
        <f t="shared" si="5"/>
        <v>0</v>
      </c>
      <c r="T22" s="120">
        <f>SUM(T23:T24)</f>
        <v>0</v>
      </c>
      <c r="U22" s="120">
        <f>SUM(U23:U24)</f>
        <v>0</v>
      </c>
      <c r="V22" s="120" t="e">
        <f>SUM(V23:V24)</f>
        <v>#REF!</v>
      </c>
      <c r="W22" s="120">
        <f t="shared" si="5"/>
        <v>0</v>
      </c>
      <c r="X22" s="120">
        <f>SUM(X23:X24)</f>
        <v>0</v>
      </c>
      <c r="Y22" s="120">
        <f t="shared" si="5"/>
        <v>0</v>
      </c>
      <c r="Z22" s="120">
        <f>SUM(Z23:Z24)</f>
        <v>0</v>
      </c>
      <c r="AA22" s="161">
        <f>SUM(AA23:AA24)</f>
        <v>0</v>
      </c>
      <c r="AB22" s="129" t="e">
        <f t="shared" si="0"/>
        <v>#REF!</v>
      </c>
      <c r="AC22" s="42"/>
      <c r="AD22" s="42"/>
    </row>
    <row r="23" spans="2:30" s="133" customFormat="1" ht="14.85" hidden="1" customHeight="1" outlineLevel="2" x14ac:dyDescent="0.3">
      <c r="B23" s="133" t="s">
        <v>337</v>
      </c>
      <c r="C23" s="132" t="s">
        <v>14</v>
      </c>
      <c r="D23" s="136"/>
      <c r="E23" s="137"/>
      <c r="F23" s="136"/>
      <c r="G23" s="137"/>
      <c r="H23" s="138"/>
      <c r="I23" s="138"/>
      <c r="J23" s="137"/>
      <c r="K23" s="137"/>
      <c r="L23" s="139"/>
      <c r="M23" s="138"/>
      <c r="N23" s="138"/>
      <c r="P23" s="147">
        <f>IFERROR(INDEX('2022 CONG 2022 CP'!$F$8:$CG$300, MATCH('+4% Scenario'!$P$4, '2022 CONG 2022 CP'!$A$8:$A$300, 0), MATCH('+4% Scenario'!B23, '2022 CONG 2022 CP'!$F$3:$CG$3, 0)), 0)</f>
        <v>215</v>
      </c>
      <c r="Q23" s="140"/>
      <c r="R23" s="141"/>
      <c r="S23" s="141"/>
      <c r="T23" s="141"/>
      <c r="V23" s="217" t="e">
        <f>#REF!</f>
        <v>#REF!</v>
      </c>
      <c r="W23" s="141"/>
      <c r="X23" s="141"/>
      <c r="Y23" s="141"/>
      <c r="Z23" s="141"/>
      <c r="AA23" s="162"/>
      <c r="AB23" s="143" t="e">
        <f t="shared" si="0"/>
        <v>#REF!</v>
      </c>
      <c r="AC23" s="136"/>
      <c r="AD23" s="136"/>
    </row>
    <row r="24" spans="2:30" s="133" customFormat="1" ht="14.85" hidden="1" customHeight="1" outlineLevel="2" x14ac:dyDescent="0.3">
      <c r="B24" s="133" t="s">
        <v>336</v>
      </c>
      <c r="C24" s="132" t="s">
        <v>15</v>
      </c>
      <c r="D24" s="136"/>
      <c r="E24" s="137"/>
      <c r="F24" s="136"/>
      <c r="G24" s="137"/>
      <c r="H24" s="138"/>
      <c r="I24" s="138"/>
      <c r="J24" s="137"/>
      <c r="K24" s="137"/>
      <c r="L24" s="139"/>
      <c r="M24" s="138"/>
      <c r="N24" s="138"/>
      <c r="P24" s="147">
        <f>IFERROR(INDEX('2022 CONG 2022 CP'!$F$8:$CG$300, MATCH('+4% Scenario'!$P$4, '2022 CONG 2022 CP'!$A$8:$A$300, 0), MATCH('+4% Scenario'!B24, '2022 CONG 2022 CP'!$F$3:$CG$3, 0)), 0)</f>
        <v>184.83</v>
      </c>
      <c r="Q24" s="140"/>
      <c r="R24" s="141"/>
      <c r="S24" s="141"/>
      <c r="T24" s="141"/>
      <c r="V24" s="217" t="e">
        <f>#REF!-#REF!</f>
        <v>#REF!</v>
      </c>
      <c r="W24" s="141"/>
      <c r="X24" s="141"/>
      <c r="Y24" s="141"/>
      <c r="Z24" s="141"/>
      <c r="AA24" s="142"/>
      <c r="AB24" s="143" t="e">
        <f t="shared" si="0"/>
        <v>#REF!</v>
      </c>
      <c r="AC24" s="136"/>
      <c r="AD24" s="136"/>
    </row>
    <row r="25" spans="2:30" hidden="1" outlineLevel="1" collapsed="1" x14ac:dyDescent="0.3">
      <c r="B25" s="1" t="s">
        <v>338</v>
      </c>
      <c r="C25" s="1" t="s">
        <v>16</v>
      </c>
      <c r="D25" s="42"/>
      <c r="E25" s="20"/>
      <c r="F25" s="42"/>
      <c r="G25" s="20"/>
      <c r="H25" s="25"/>
      <c r="I25" s="25"/>
      <c r="J25" s="20"/>
      <c r="K25" s="20"/>
      <c r="L25" s="40"/>
      <c r="M25" s="25"/>
      <c r="N25" s="25"/>
      <c r="P25" s="145">
        <f>IFERROR(INDEX('2022 CONG 2022 CP'!$F$8:$CG$300, MATCH('+4% Scenario'!$P$4, '2022 CONG 2022 CP'!$A$8:$A$300, 0), MATCH('+4% Scenario'!B25, '2022 CONG 2022 CP'!$F$3:$CG$3, 0)), 0)</f>
        <v>1.66</v>
      </c>
      <c r="Q25" s="114"/>
      <c r="R25" s="120"/>
      <c r="S25" s="120"/>
      <c r="T25" s="120"/>
      <c r="U25" s="120"/>
      <c r="V25" s="120"/>
      <c r="W25" s="120"/>
      <c r="X25" s="120"/>
      <c r="Y25" s="120"/>
      <c r="Z25" s="120"/>
      <c r="AA25" s="38">
        <f>ROUND(P25*0.04, 2)</f>
        <v>7.0000000000000007E-2</v>
      </c>
      <c r="AB25" s="129">
        <f t="shared" si="0"/>
        <v>1.73</v>
      </c>
      <c r="AC25" s="42"/>
      <c r="AD25" s="42"/>
    </row>
    <row r="26" spans="2:30" hidden="1" outlineLevel="1" x14ac:dyDescent="0.3">
      <c r="C26" s="1" t="s">
        <v>17</v>
      </c>
      <c r="D26" s="42"/>
      <c r="E26" s="20"/>
      <c r="F26" s="42"/>
      <c r="G26" s="20"/>
      <c r="H26" s="25"/>
      <c r="I26" s="25"/>
      <c r="J26" s="20"/>
      <c r="K26" s="20"/>
      <c r="L26" s="40"/>
      <c r="M26" s="25"/>
      <c r="N26" s="25"/>
      <c r="P26" s="145">
        <f>IFERROR(INDEX('2022 CONG 2022 CP'!$F$8:$CG$300, MATCH('+4% Scenario'!$P$4, '2022 CONG 2022 CP'!$A$8:$A$300, 0), MATCH('+4% Scenario'!B26, '2022 CONG 2022 CP'!$F$3:$CG$3, 0)), 0)</f>
        <v>0</v>
      </c>
      <c r="Q26" s="114"/>
      <c r="R26" s="120"/>
      <c r="S26" s="120"/>
      <c r="T26" s="120"/>
      <c r="U26" s="120"/>
      <c r="V26" s="120"/>
      <c r="W26" s="120"/>
      <c r="X26" s="120"/>
      <c r="Y26" s="120"/>
      <c r="Z26" s="120"/>
      <c r="AA26" s="38"/>
      <c r="AB26" s="129">
        <f t="shared" si="0"/>
        <v>0</v>
      </c>
      <c r="AC26" s="42"/>
      <c r="AD26" s="42"/>
    </row>
    <row r="27" spans="2:30" hidden="1" outlineLevel="1" x14ac:dyDescent="0.3">
      <c r="B27" s="1" t="s">
        <v>447</v>
      </c>
      <c r="C27" s="14" t="s">
        <v>18</v>
      </c>
      <c r="D27" s="43"/>
      <c r="E27" s="21"/>
      <c r="F27" s="43"/>
      <c r="G27" s="21"/>
      <c r="H27" s="16"/>
      <c r="I27" s="16"/>
      <c r="J27" s="21"/>
      <c r="K27" s="21"/>
      <c r="L27" s="47"/>
      <c r="M27" s="25"/>
      <c r="N27" s="25"/>
      <c r="P27" s="148">
        <f>IFERROR(INDEX('2022 CONG 2022 CP'!$F$8:$CG$300, MATCH('+4% Scenario'!$P$4, '2022 CONG 2022 CP'!$A$8:$A$300, 0), MATCH('+4% Scenario'!B27, '2022 CONG 2022 CP'!$F$3:$CG$3, 0)), 0)</f>
        <v>0</v>
      </c>
      <c r="Q27" s="115"/>
      <c r="R27" s="214" t="e">
        <f>#REF!</f>
        <v>#REF!</v>
      </c>
      <c r="S27" s="121"/>
      <c r="T27" s="121"/>
      <c r="U27" s="121"/>
      <c r="V27" s="121"/>
      <c r="W27" s="121"/>
      <c r="X27" s="121"/>
      <c r="Y27" s="214" t="e">
        <f>#REF!</f>
        <v>#REF!</v>
      </c>
      <c r="Z27" s="121"/>
      <c r="AA27" s="88"/>
      <c r="AB27" s="130" t="e">
        <f t="shared" si="0"/>
        <v>#REF!</v>
      </c>
      <c r="AC27" s="43"/>
      <c r="AD27" s="43"/>
    </row>
    <row r="28" spans="2:30" collapsed="1" x14ac:dyDescent="0.3">
      <c r="C28" s="2" t="s">
        <v>19</v>
      </c>
      <c r="D28" s="29">
        <v>7159.4</v>
      </c>
      <c r="E28" s="965">
        <v>354.35</v>
      </c>
      <c r="F28" s="973">
        <f>SUM(E28,D28:D29)</f>
        <v>8519.75</v>
      </c>
      <c r="G28" s="26"/>
      <c r="H28" s="18"/>
      <c r="I28" s="18">
        <v>-147.74</v>
      </c>
      <c r="J28" s="969">
        <f>SUM(D28:D29,E28,G28:I29)</f>
        <v>8519.75</v>
      </c>
      <c r="K28" s="965">
        <f>J28-SUM(D28:D29)</f>
        <v>354.35000000000036</v>
      </c>
      <c r="L28" s="971">
        <f>K28/SUM(D28:D29)</f>
        <v>4.3396526808239695E-2</v>
      </c>
      <c r="M28" s="965">
        <f>J28-SUM(P28:P29)</f>
        <v>370.76999999999953</v>
      </c>
      <c r="N28" s="971">
        <f>M28/SUM(P28:P29)</f>
        <v>4.5498945880343249E-2</v>
      </c>
      <c r="P28" s="23">
        <f>SUM(P9:P13,P16:P18,P21:P22,P25:P27)</f>
        <v>6999.52</v>
      </c>
      <c r="Q28" s="116">
        <f t="shared" ref="Q28:AA28" si="6">SUM(Q9:Q13,Q16,Q17:Q18,Q21:Q22,Q25:Q27)</f>
        <v>0</v>
      </c>
      <c r="R28" s="122" t="e">
        <f t="shared" si="6"/>
        <v>#REF!</v>
      </c>
      <c r="S28" s="122" t="e">
        <f t="shared" si="6"/>
        <v>#REF!</v>
      </c>
      <c r="T28" s="122">
        <f t="shared" si="6"/>
        <v>0</v>
      </c>
      <c r="U28" s="122" t="e">
        <f t="shared" si="6"/>
        <v>#REF!</v>
      </c>
      <c r="V28" s="122" t="e">
        <f t="shared" si="6"/>
        <v>#REF!</v>
      </c>
      <c r="W28" s="122" t="e">
        <f t="shared" si="6"/>
        <v>#REF!</v>
      </c>
      <c r="X28" s="122" t="e">
        <f t="shared" si="6"/>
        <v>#REF!</v>
      </c>
      <c r="Y28" s="122" t="e">
        <f t="shared" si="6"/>
        <v>#REF!</v>
      </c>
      <c r="Z28" s="122">
        <f t="shared" si="6"/>
        <v>0</v>
      </c>
      <c r="AA28" s="160">
        <f t="shared" si="6"/>
        <v>7.0000000000000007E-2</v>
      </c>
      <c r="AB28" s="126" t="e">
        <f t="shared" si="0"/>
        <v>#REF!</v>
      </c>
      <c r="AC28" s="969">
        <f>J28</f>
        <v>8519.75</v>
      </c>
      <c r="AD28" s="975" t="e">
        <f>AC28-SUM(AB28:AB29)</f>
        <v>#REF!</v>
      </c>
    </row>
    <row r="29" spans="2:30" ht="15.6" customHeight="1" x14ac:dyDescent="0.3">
      <c r="B29" s="1" t="s">
        <v>340</v>
      </c>
      <c r="C29" s="2" t="s">
        <v>20</v>
      </c>
      <c r="D29" s="29">
        <v>1006</v>
      </c>
      <c r="E29" s="966"/>
      <c r="F29" s="974"/>
      <c r="G29" s="26"/>
      <c r="H29" s="18"/>
      <c r="I29" s="18">
        <v>147.74</v>
      </c>
      <c r="J29" s="970"/>
      <c r="K29" s="966"/>
      <c r="L29" s="972"/>
      <c r="M29" s="966"/>
      <c r="N29" s="972"/>
      <c r="P29" s="23">
        <f>IFERROR(INDEX('2022 CONG 2022 CP'!$F$8:$CG$300, MATCH('+4% Scenario'!$P$4, '2022 CONG 2022 CP'!$A$8:$A$300, 0), MATCH('+4% Scenario'!B29, '2022 CONG 2022 CP'!$F$3:$CG$3, 0)), 0)</f>
        <v>1149.46</v>
      </c>
      <c r="Q29" s="116"/>
      <c r="R29" s="122"/>
      <c r="S29" s="122"/>
      <c r="T29" s="216" t="e">
        <f>#REF!</f>
        <v>#REF!</v>
      </c>
      <c r="U29" s="122"/>
      <c r="V29" s="122"/>
      <c r="W29" s="122"/>
      <c r="X29" s="122"/>
      <c r="Y29" s="122"/>
      <c r="Z29" s="122"/>
      <c r="AA29" s="89"/>
      <c r="AB29" s="126" t="e">
        <f t="shared" si="0"/>
        <v>#REF!</v>
      </c>
      <c r="AC29" s="970"/>
      <c r="AD29" s="976"/>
    </row>
    <row r="30" spans="2:30" x14ac:dyDescent="0.3">
      <c r="B30" s="1" t="s">
        <v>341</v>
      </c>
      <c r="C30" s="2" t="s">
        <v>21</v>
      </c>
      <c r="D30" s="29">
        <v>249</v>
      </c>
      <c r="E30" s="26">
        <v>-61.77</v>
      </c>
      <c r="F30" s="29">
        <f>SUM(D30:E30)</f>
        <v>187.23</v>
      </c>
      <c r="G30" s="26"/>
      <c r="H30" s="18"/>
      <c r="I30" s="18"/>
      <c r="J30" s="78">
        <f>SUM(F30:I30)</f>
        <v>187.23</v>
      </c>
      <c r="K30" s="26">
        <f>J30-D30</f>
        <v>-61.77000000000001</v>
      </c>
      <c r="L30" s="90">
        <f t="shared" ref="L30:L34" si="7">IFERROR(K30/D30, "N/A")</f>
        <v>-0.24807228915662655</v>
      </c>
      <c r="M30" s="26">
        <f>J30-P30</f>
        <v>-53.29000000000002</v>
      </c>
      <c r="N30" s="90">
        <f>M30/P30</f>
        <v>-0.22156161649758863</v>
      </c>
      <c r="P30" s="23">
        <f>IFERROR(INDEX('2022 CONG 2022 CP'!$F$8:$CG$300, MATCH('+4% Scenario'!$P$4, '2022 CONG 2022 CP'!$A$8:$A$300, 0), MATCH('+4% Scenario'!B30, '2022 CONG 2022 CP'!$F$3:$CG$3, 0)), 0)</f>
        <v>240.52</v>
      </c>
      <c r="Q30" s="116"/>
      <c r="R30" s="122"/>
      <c r="S30" s="122"/>
      <c r="T30" s="122"/>
      <c r="U30" s="122"/>
      <c r="V30" s="122"/>
      <c r="W30" s="122"/>
      <c r="X30" s="122"/>
      <c r="Y30" s="122"/>
      <c r="Z30" s="122"/>
      <c r="AA30" s="89">
        <v>-53.29</v>
      </c>
      <c r="AB30" s="126">
        <f t="shared" si="0"/>
        <v>187.23000000000002</v>
      </c>
      <c r="AC30" s="108">
        <f t="shared" ref="AC30:AC33" si="8">J30</f>
        <v>187.23</v>
      </c>
      <c r="AD30" s="82">
        <f t="shared" ref="AD30:AD33" si="9">AC30-AB30</f>
        <v>0</v>
      </c>
    </row>
    <row r="31" spans="2:30" x14ac:dyDescent="0.3">
      <c r="B31" s="1" t="s">
        <v>342</v>
      </c>
      <c r="C31" s="2" t="s">
        <v>22</v>
      </c>
      <c r="D31" s="29">
        <v>400</v>
      </c>
      <c r="E31" s="26">
        <v>60</v>
      </c>
      <c r="F31" s="29">
        <f>SUM(D31:E31)</f>
        <v>460</v>
      </c>
      <c r="G31" s="26"/>
      <c r="H31" s="18"/>
      <c r="I31" s="18"/>
      <c r="J31" s="78">
        <f>SUM(F31:I31)</f>
        <v>460</v>
      </c>
      <c r="K31" s="26">
        <f t="shared" ref="K31:K34" si="10">J31-D31</f>
        <v>60</v>
      </c>
      <c r="L31" s="90">
        <f t="shared" si="7"/>
        <v>0.15</v>
      </c>
      <c r="M31" s="26">
        <f t="shared" ref="M31:M34" si="11">J31-P31</f>
        <v>35.100000000000023</v>
      </c>
      <c r="N31" s="90">
        <f t="shared" ref="N31:N34" si="12">M31/P31</f>
        <v>8.2607672393504417E-2</v>
      </c>
      <c r="P31" s="23">
        <f>IFERROR(INDEX('2022 CONG 2022 CP'!$F$8:$CG$300, MATCH('+4% Scenario'!$P$4, '2022 CONG 2022 CP'!$A$8:$A$300, 0), MATCH('+4% Scenario'!B31, '2022 CONG 2022 CP'!$F$3:$CG$3, 0)), 0)</f>
        <v>424.9</v>
      </c>
      <c r="Q31" s="213" t="e">
        <f>#REF!</f>
        <v>#REF!</v>
      </c>
      <c r="R31" s="122"/>
      <c r="S31" s="122"/>
      <c r="T31" s="122"/>
      <c r="U31" s="122"/>
      <c r="V31" s="122"/>
      <c r="W31" s="122"/>
      <c r="X31" s="122"/>
      <c r="Y31" s="122"/>
      <c r="Z31" s="122"/>
      <c r="AA31" s="89"/>
      <c r="AB31" s="126" t="e">
        <f t="shared" si="0"/>
        <v>#REF!</v>
      </c>
      <c r="AC31" s="108">
        <f t="shared" si="8"/>
        <v>460</v>
      </c>
      <c r="AD31" s="82" t="e">
        <f>AC31-AB31</f>
        <v>#REF!</v>
      </c>
    </row>
    <row r="32" spans="2:30" x14ac:dyDescent="0.3">
      <c r="B32" s="1" t="s">
        <v>343</v>
      </c>
      <c r="C32" s="2" t="s">
        <v>23</v>
      </c>
      <c r="D32" s="29">
        <v>19</v>
      </c>
      <c r="E32" s="26">
        <f t="shared" ref="E32:E33" si="13">ROUND(D32*0.04, 2)</f>
        <v>0.76</v>
      </c>
      <c r="F32" s="29">
        <f>SUM(D32:E32)</f>
        <v>19.760000000000002</v>
      </c>
      <c r="G32" s="26"/>
      <c r="H32" s="18"/>
      <c r="I32" s="18"/>
      <c r="J32" s="78">
        <f>SUM(F32:I32)</f>
        <v>19.760000000000002</v>
      </c>
      <c r="K32" s="26">
        <f t="shared" si="10"/>
        <v>0.76000000000000156</v>
      </c>
      <c r="L32" s="90">
        <f t="shared" si="7"/>
        <v>4.0000000000000084E-2</v>
      </c>
      <c r="M32" s="26">
        <f t="shared" si="11"/>
        <v>0.76000000000000156</v>
      </c>
      <c r="N32" s="90">
        <f t="shared" si="12"/>
        <v>4.0000000000000084E-2</v>
      </c>
      <c r="P32" s="23">
        <f>IFERROR(INDEX('2022 CONG 2022 CP'!$F$8:$CG$300, MATCH('+4% Scenario'!$P$4, '2022 CONG 2022 CP'!$A$8:$A$300, 0), MATCH('+4% Scenario'!B32, '2022 CONG 2022 CP'!$F$3:$CG$3, 0)), 0)</f>
        <v>19</v>
      </c>
      <c r="Q32" s="116"/>
      <c r="R32" s="122"/>
      <c r="S32" s="122"/>
      <c r="T32" s="122"/>
      <c r="U32" s="122"/>
      <c r="V32" s="122"/>
      <c r="W32" s="122"/>
      <c r="X32" s="122"/>
      <c r="Y32" s="122"/>
      <c r="Z32" s="122"/>
      <c r="AA32" s="89">
        <f>ROUND(P32*0.04, 2)</f>
        <v>0.76</v>
      </c>
      <c r="AB32" s="126">
        <f t="shared" si="0"/>
        <v>19.760000000000002</v>
      </c>
      <c r="AC32" s="108">
        <f t="shared" si="8"/>
        <v>19.760000000000002</v>
      </c>
      <c r="AD32" s="82">
        <f t="shared" si="9"/>
        <v>0</v>
      </c>
    </row>
    <row r="33" spans="2:30" x14ac:dyDescent="0.3">
      <c r="B33" s="1" t="s">
        <v>344</v>
      </c>
      <c r="C33" s="93" t="s">
        <v>365</v>
      </c>
      <c r="D33" s="94">
        <v>4.5999999999999996</v>
      </c>
      <c r="E33" s="95">
        <f t="shared" si="13"/>
        <v>0.18</v>
      </c>
      <c r="F33" s="94">
        <f>SUM(D33:E33)</f>
        <v>4.7799999999999994</v>
      </c>
      <c r="G33" s="95"/>
      <c r="H33" s="96"/>
      <c r="I33" s="96"/>
      <c r="J33" s="97">
        <f>SUM(F33:I33)</f>
        <v>4.7799999999999994</v>
      </c>
      <c r="K33" s="95">
        <f t="shared" si="10"/>
        <v>0.17999999999999972</v>
      </c>
      <c r="L33" s="98">
        <f t="shared" si="7"/>
        <v>3.9130434782608636E-2</v>
      </c>
      <c r="M33" s="95">
        <f t="shared" si="11"/>
        <v>0.17999999999999972</v>
      </c>
      <c r="N33" s="98">
        <f t="shared" si="12"/>
        <v>3.9130434782608636E-2</v>
      </c>
      <c r="P33" s="107">
        <f>IFERROR(INDEX('2022 CONG 2022 CP'!$F$8:$CG$300, MATCH('+4% Scenario'!$P$4, '2022 CONG 2022 CP'!$A$8:$A$300, 0), MATCH('+4% Scenario'!B33, '2022 CONG 2022 CP'!$F$3:$CG$3, 0)), 0)</f>
        <v>4.5999999999999996</v>
      </c>
      <c r="Q33" s="117"/>
      <c r="R33" s="123"/>
      <c r="S33" s="123"/>
      <c r="T33" s="123"/>
      <c r="U33" s="123"/>
      <c r="V33" s="123"/>
      <c r="W33" s="123"/>
      <c r="X33" s="123"/>
      <c r="Y33" s="123"/>
      <c r="Z33" s="123"/>
      <c r="AA33" s="112">
        <f>ROUND(P33*0.04, 2)</f>
        <v>0.18</v>
      </c>
      <c r="AB33" s="127">
        <f t="shared" si="0"/>
        <v>4.7799999999999994</v>
      </c>
      <c r="AC33" s="109">
        <f t="shared" si="8"/>
        <v>4.7799999999999994</v>
      </c>
      <c r="AD33" s="105">
        <f t="shared" si="9"/>
        <v>0</v>
      </c>
    </row>
    <row r="34" spans="2:30" ht="16.2" thickBot="1" x14ac:dyDescent="0.4">
      <c r="B34" s="1" t="s">
        <v>333</v>
      </c>
      <c r="C34" s="99" t="s">
        <v>24</v>
      </c>
      <c r="D34" s="100">
        <v>8838</v>
      </c>
      <c r="E34" s="101">
        <f>SUM(E28:E33)</f>
        <v>353.52000000000004</v>
      </c>
      <c r="F34" s="100">
        <f>SUM(F28:F33)</f>
        <v>9191.52</v>
      </c>
      <c r="G34" s="101">
        <f>SUM(G28,G29:G33)</f>
        <v>0</v>
      </c>
      <c r="H34" s="102">
        <f>SUM(H28,H29:H33)</f>
        <v>0</v>
      </c>
      <c r="I34" s="102">
        <f>SUM(I28,I29:I33)</f>
        <v>0</v>
      </c>
      <c r="J34" s="103">
        <f>SUM(J28:J33)</f>
        <v>9191.52</v>
      </c>
      <c r="K34" s="101">
        <f t="shared" si="10"/>
        <v>353.52000000000044</v>
      </c>
      <c r="L34" s="104">
        <f t="shared" si="7"/>
        <v>4.0000000000000049E-2</v>
      </c>
      <c r="M34" s="101">
        <f t="shared" si="11"/>
        <v>353.52000000000044</v>
      </c>
      <c r="N34" s="104">
        <f t="shared" si="12"/>
        <v>4.0000000000000049E-2</v>
      </c>
      <c r="P34" s="111">
        <f>IFERROR(INDEX('2022 CONG 2022 CP'!$F$8:$CG$300, MATCH('+4% Scenario'!$P$4, '2022 CONG 2022 CP'!$A$8:$A$300, 0), MATCH('+4% Scenario'!B34, '2022 CONG 2022 CP'!$F$3:$CG$3, 0)), 0)</f>
        <v>8838</v>
      </c>
      <c r="Q34" s="118" t="e">
        <f t="shared" ref="Q34:AA34" si="14">SUM(Q28,Q29:Q33)</f>
        <v>#REF!</v>
      </c>
      <c r="R34" s="124" t="e">
        <f t="shared" si="14"/>
        <v>#REF!</v>
      </c>
      <c r="S34" s="124" t="e">
        <f t="shared" si="14"/>
        <v>#REF!</v>
      </c>
      <c r="T34" s="124" t="e">
        <f t="shared" si="14"/>
        <v>#REF!</v>
      </c>
      <c r="U34" s="124" t="e">
        <f t="shared" si="14"/>
        <v>#REF!</v>
      </c>
      <c r="V34" s="124" t="e">
        <f t="shared" si="14"/>
        <v>#REF!</v>
      </c>
      <c r="W34" s="124" t="e">
        <f t="shared" si="14"/>
        <v>#REF!</v>
      </c>
      <c r="X34" s="124" t="e">
        <f t="shared" si="14"/>
        <v>#REF!</v>
      </c>
      <c r="Y34" s="124" t="e">
        <f t="shared" si="14"/>
        <v>#REF!</v>
      </c>
      <c r="Z34" s="220" t="s">
        <v>376</v>
      </c>
      <c r="AA34" s="159">
        <f t="shared" si="14"/>
        <v>-52.28</v>
      </c>
      <c r="AB34" s="125" t="e">
        <f>SUM(P34:AA34)</f>
        <v>#REF!</v>
      </c>
      <c r="AC34" s="110">
        <f>J34</f>
        <v>9191.52</v>
      </c>
      <c r="AD34" s="106" t="e">
        <f>AC34-AB34</f>
        <v>#REF!</v>
      </c>
    </row>
    <row r="35" spans="2:30" hidden="1" outlineLevel="1" x14ac:dyDescent="0.3">
      <c r="C35" s="12" t="s">
        <v>345</v>
      </c>
      <c r="D35" s="11">
        <f t="shared" ref="D35:J35" si="15">D34-SUM(D28,D29:D33)</f>
        <v>0</v>
      </c>
      <c r="E35" s="11">
        <f t="shared" si="15"/>
        <v>0</v>
      </c>
      <c r="F35" s="11"/>
      <c r="G35" s="11">
        <f t="shared" si="15"/>
        <v>0</v>
      </c>
      <c r="H35" s="11">
        <f t="shared" si="15"/>
        <v>0</v>
      </c>
      <c r="I35" s="11">
        <f t="shared" si="15"/>
        <v>0</v>
      </c>
      <c r="J35" s="11">
        <f t="shared" si="15"/>
        <v>0</v>
      </c>
      <c r="K35" s="11"/>
      <c r="L35" s="11"/>
      <c r="M35" s="11"/>
      <c r="N35" s="11"/>
      <c r="O35" s="11"/>
      <c r="P35" s="11">
        <f t="shared" ref="P35:AD35" si="16">P34-SUM(P28,P29:P33)</f>
        <v>0</v>
      </c>
      <c r="Q35" s="11" t="e">
        <f t="shared" si="16"/>
        <v>#REF!</v>
      </c>
      <c r="R35" s="11" t="e">
        <f t="shared" si="16"/>
        <v>#REF!</v>
      </c>
      <c r="S35" s="11" t="e">
        <f t="shared" si="16"/>
        <v>#REF!</v>
      </c>
      <c r="T35" s="11" t="e">
        <f t="shared" si="16"/>
        <v>#REF!</v>
      </c>
      <c r="U35" s="11" t="e">
        <f t="shared" si="16"/>
        <v>#REF!</v>
      </c>
      <c r="V35" s="11" t="e">
        <f t="shared" si="16"/>
        <v>#REF!</v>
      </c>
      <c r="W35" s="11" t="e">
        <f t="shared" si="16"/>
        <v>#REF!</v>
      </c>
      <c r="X35" s="11" t="e">
        <f t="shared" si="16"/>
        <v>#REF!</v>
      </c>
      <c r="Y35" s="11" t="e">
        <f t="shared" si="16"/>
        <v>#REF!</v>
      </c>
      <c r="Z35" s="11"/>
      <c r="AA35" s="11">
        <f t="shared" si="16"/>
        <v>0</v>
      </c>
      <c r="AB35" s="11" t="e">
        <f>AB34-SUM(AB28,AB29:AB33)</f>
        <v>#REF!</v>
      </c>
      <c r="AC35" s="11">
        <f t="shared" si="16"/>
        <v>0</v>
      </c>
      <c r="AD35" s="11" t="e">
        <f t="shared" si="16"/>
        <v>#REF!</v>
      </c>
    </row>
    <row r="36" spans="2:30" hidden="1" outlineLevel="1" x14ac:dyDescent="0.3">
      <c r="C36" s="10" t="s">
        <v>489</v>
      </c>
    </row>
    <row r="37" spans="2:30" hidden="1" outlineLevel="1" x14ac:dyDescent="0.3">
      <c r="C37" s="10" t="s">
        <v>467</v>
      </c>
    </row>
    <row r="38" spans="2:30" hidden="1" outlineLevel="1" x14ac:dyDescent="0.3">
      <c r="C38" s="10" t="s">
        <v>464</v>
      </c>
      <c r="D38" s="36"/>
      <c r="E38" s="36"/>
      <c r="F38" s="36"/>
      <c r="P38" s="77"/>
    </row>
    <row r="39" spans="2:30" hidden="1" outlineLevel="1" x14ac:dyDescent="0.3">
      <c r="C39" s="10" t="s">
        <v>491</v>
      </c>
    </row>
    <row r="40" spans="2:30" hidden="1" outlineLevel="1" x14ac:dyDescent="0.3">
      <c r="C40" s="189" t="s">
        <v>492</v>
      </c>
      <c r="G40" s="10"/>
    </row>
    <row r="41" spans="2:30" collapsed="1" x14ac:dyDescent="0.3">
      <c r="C41" s="1" t="s">
        <v>498</v>
      </c>
    </row>
    <row r="44" spans="2:30" hidden="1" outlineLevel="1" x14ac:dyDescent="0.3">
      <c r="E44" s="203">
        <v>353.52</v>
      </c>
      <c r="F44" s="203"/>
      <c r="G44" s="10" t="s">
        <v>493</v>
      </c>
    </row>
    <row r="45" spans="2:30" hidden="1" outlineLevel="1" x14ac:dyDescent="0.3">
      <c r="E45" s="203">
        <f>E44-E34</f>
        <v>0</v>
      </c>
      <c r="F45" s="203"/>
      <c r="G45" s="10" t="s">
        <v>494</v>
      </c>
    </row>
    <row r="46" spans="2:30" hidden="1" outlineLevel="1" x14ac:dyDescent="0.3"/>
    <row r="47" spans="2:30" hidden="1" outlineLevel="1" x14ac:dyDescent="0.3">
      <c r="E47" s="202">
        <f>D28/SUM(D28:D29)</f>
        <v>0.87679721752761652</v>
      </c>
      <c r="F47" s="202"/>
      <c r="G47" s="36">
        <f>E45*E47</f>
        <v>0</v>
      </c>
    </row>
    <row r="48" spans="2:30" hidden="1" outlineLevel="1" x14ac:dyDescent="0.3">
      <c r="E48" s="202">
        <f>D29/SUM(D28:D29)</f>
        <v>0.12320278247238348</v>
      </c>
      <c r="F48" s="202"/>
      <c r="G48" s="36">
        <f>E45*E48</f>
        <v>0</v>
      </c>
    </row>
    <row r="49" collapsed="1" x14ac:dyDescent="0.3"/>
  </sheetData>
  <mergeCells count="38">
    <mergeCell ref="AD28:AD29"/>
    <mergeCell ref="AC28:AC29"/>
    <mergeCell ref="AB5:AB8"/>
    <mergeCell ref="E5:E8"/>
    <mergeCell ref="H6:H8"/>
    <mergeCell ref="J5:J8"/>
    <mergeCell ref="P3:AD3"/>
    <mergeCell ref="Y6:Y8"/>
    <mergeCell ref="AC5:AC8"/>
    <mergeCell ref="AD5:AD8"/>
    <mergeCell ref="T6:T8"/>
    <mergeCell ref="Q6:Q8"/>
    <mergeCell ref="R6:R8"/>
    <mergeCell ref="S6:S8"/>
    <mergeCell ref="W6:W8"/>
    <mergeCell ref="Z6:Z8"/>
    <mergeCell ref="P5:P8"/>
    <mergeCell ref="AA6:AA8"/>
    <mergeCell ref="Q5:AA5"/>
    <mergeCell ref="X6:X8"/>
    <mergeCell ref="V6:V8"/>
    <mergeCell ref="U6:U8"/>
    <mergeCell ref="D3:N3"/>
    <mergeCell ref="E28:E29"/>
    <mergeCell ref="K5:N5"/>
    <mergeCell ref="M6:N7"/>
    <mergeCell ref="J28:J29"/>
    <mergeCell ref="K28:K29"/>
    <mergeCell ref="L28:L29"/>
    <mergeCell ref="M28:M29"/>
    <mergeCell ref="N28:N29"/>
    <mergeCell ref="F5:F8"/>
    <mergeCell ref="F28:F29"/>
    <mergeCell ref="K6:L7"/>
    <mergeCell ref="G5:I5"/>
    <mergeCell ref="D5:D8"/>
    <mergeCell ref="G6:G8"/>
    <mergeCell ref="I6:I8"/>
  </mergeCells>
  <conditionalFormatting sqref="AD28 AD30:AD34">
    <cfRule type="cellIs" dxfId="1" priority="1" operator="lessThan">
      <formula>0</formula>
    </cfRule>
  </conditionalFormatting>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68A78-FD52-4BAB-9AD2-6BC2C8CE4EFC}">
  <sheetPr>
    <tabColor theme="7" tint="0.79998168889431442"/>
  </sheetPr>
  <dimension ref="B2:G20"/>
  <sheetViews>
    <sheetView showGridLines="0" zoomScale="145" zoomScaleNormal="145" workbookViewId="0">
      <selection activeCell="K10" sqref="K10"/>
    </sheetView>
  </sheetViews>
  <sheetFormatPr defaultColWidth="9.44140625" defaultRowHeight="15" outlineLevelRow="2" outlineLevelCol="1" x14ac:dyDescent="0.35"/>
  <cols>
    <col min="1" max="1" width="4.6640625" style="17" customWidth="1"/>
    <col min="2" max="2" width="42.6640625" style="17" customWidth="1"/>
    <col min="3" max="3" width="10.33203125" style="17" customWidth="1"/>
    <col min="4" max="4" width="4.6640625" style="17" customWidth="1"/>
    <col min="5" max="5" width="10.33203125" style="17" bestFit="1" customWidth="1"/>
    <col min="6" max="6" width="9.44140625" style="17"/>
    <col min="7" max="7" width="9.44140625" style="17" customWidth="1" outlineLevel="1"/>
    <col min="8" max="16384" width="9.44140625" style="17"/>
  </cols>
  <sheetData>
    <row r="2" spans="2:3" x14ac:dyDescent="0.35">
      <c r="B2" s="727" t="s">
        <v>901</v>
      </c>
      <c r="C2" s="727"/>
    </row>
    <row r="3" spans="2:3" ht="15.6" thickBot="1" x14ac:dyDescent="0.4">
      <c r="B3" s="728" t="s">
        <v>369</v>
      </c>
      <c r="C3" s="728"/>
    </row>
    <row r="4" spans="2:3" x14ac:dyDescent="0.35">
      <c r="B4" s="566" t="s">
        <v>891</v>
      </c>
      <c r="C4" s="569">
        <v>21.957999999999998</v>
      </c>
    </row>
    <row r="5" spans="2:3" x14ac:dyDescent="0.35">
      <c r="B5" s="471" t="s">
        <v>892</v>
      </c>
      <c r="C5" s="210">
        <v>1.25</v>
      </c>
    </row>
    <row r="6" spans="2:3" ht="16.2" x14ac:dyDescent="0.35">
      <c r="B6" s="471" t="s">
        <v>893</v>
      </c>
      <c r="C6" s="210">
        <v>2.38</v>
      </c>
    </row>
    <row r="7" spans="2:3" x14ac:dyDescent="0.35">
      <c r="B7" s="471" t="s">
        <v>902</v>
      </c>
      <c r="C7" s="210">
        <f>SUM(C8:C10)</f>
        <v>3</v>
      </c>
    </row>
    <row r="8" spans="2:3" outlineLevel="1" x14ac:dyDescent="0.35">
      <c r="B8" s="579" t="s">
        <v>0</v>
      </c>
      <c r="C8" s="469">
        <v>1</v>
      </c>
    </row>
    <row r="9" spans="2:3" outlineLevel="1" x14ac:dyDescent="0.35">
      <c r="B9" s="579" t="s">
        <v>2</v>
      </c>
      <c r="C9" s="469">
        <v>1</v>
      </c>
    </row>
    <row r="10" spans="2:3" outlineLevel="1" x14ac:dyDescent="0.35">
      <c r="B10" s="579" t="s">
        <v>7</v>
      </c>
      <c r="C10" s="469">
        <v>1</v>
      </c>
    </row>
    <row r="11" spans="2:3" x14ac:dyDescent="0.35">
      <c r="B11" s="471" t="s">
        <v>895</v>
      </c>
      <c r="C11" s="210">
        <f>SUM(C12:C16)</f>
        <v>15</v>
      </c>
    </row>
    <row r="12" spans="2:3" outlineLevel="1" x14ac:dyDescent="0.35">
      <c r="B12" s="579" t="s">
        <v>0</v>
      </c>
      <c r="C12" s="469">
        <v>3</v>
      </c>
    </row>
    <row r="13" spans="2:3" outlineLevel="1" x14ac:dyDescent="0.35">
      <c r="B13" s="579" t="s">
        <v>1</v>
      </c>
      <c r="C13" s="469">
        <v>3</v>
      </c>
    </row>
    <row r="14" spans="2:3" outlineLevel="1" x14ac:dyDescent="0.35">
      <c r="B14" s="579" t="s">
        <v>2</v>
      </c>
      <c r="C14" s="469">
        <v>3</v>
      </c>
    </row>
    <row r="15" spans="2:3" outlineLevel="1" x14ac:dyDescent="0.35">
      <c r="B15" s="579" t="s">
        <v>7</v>
      </c>
      <c r="C15" s="469">
        <v>3</v>
      </c>
    </row>
    <row r="16" spans="2:3" outlineLevel="1" x14ac:dyDescent="0.35">
      <c r="B16" s="579" t="s">
        <v>8</v>
      </c>
      <c r="C16" s="469">
        <v>3</v>
      </c>
    </row>
    <row r="17" spans="2:5" outlineLevel="2" x14ac:dyDescent="0.35">
      <c r="B17" s="471" t="s">
        <v>904</v>
      </c>
      <c r="C17" s="568">
        <v>0.32800000000000001</v>
      </c>
    </row>
    <row r="18" spans="2:5" ht="15.6" thickBot="1" x14ac:dyDescent="0.4">
      <c r="B18" s="305" t="s">
        <v>896</v>
      </c>
      <c r="C18" s="33">
        <v>0</v>
      </c>
    </row>
    <row r="19" spans="2:5" ht="48" customHeight="1" x14ac:dyDescent="0.35">
      <c r="B19" s="729" t="s">
        <v>894</v>
      </c>
      <c r="C19" s="729"/>
      <c r="E19" s="410"/>
    </row>
    <row r="20" spans="2:5" x14ac:dyDescent="0.35">
      <c r="C20" s="410"/>
    </row>
  </sheetData>
  <mergeCells count="3">
    <mergeCell ref="B2:C2"/>
    <mergeCell ref="B3:C3"/>
    <mergeCell ref="B19:C19"/>
  </mergeCells>
  <conditionalFormatting sqref="C18">
    <cfRule type="cellIs" dxfId="13" priority="1" operator="lessThan">
      <formula>0</formula>
    </cfRule>
  </conditionalFormatting>
  <pageMargins left="0.7" right="0.7" top="0.75" bottom="0.75" header="0.3" footer="0.3"/>
  <pageSetup orientation="landscape"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0F917-1A61-44B4-AA11-FFA5F0304D26}">
  <sheetPr>
    <tabColor theme="4" tint="0.79998168889431442"/>
  </sheetPr>
  <dimension ref="B1:G11"/>
  <sheetViews>
    <sheetView showGridLines="0" zoomScale="130" zoomScaleNormal="130" workbookViewId="0">
      <selection activeCell="J30" sqref="J30"/>
    </sheetView>
  </sheetViews>
  <sheetFormatPr defaultRowHeight="14.4" x14ac:dyDescent="0.3"/>
  <cols>
    <col min="1" max="1" width="2.5546875" customWidth="1"/>
    <col min="4" max="4" width="36.44140625" customWidth="1"/>
    <col min="5" max="6" width="10.5546875" customWidth="1"/>
    <col min="7" max="7" width="43.6640625" customWidth="1"/>
  </cols>
  <sheetData>
    <row r="1" spans="2:7" x14ac:dyDescent="0.3">
      <c r="B1" s="174" t="s">
        <v>469</v>
      </c>
      <c r="C1" s="1"/>
      <c r="E1" s="1"/>
      <c r="F1" s="1"/>
    </row>
    <row r="2" spans="2:7" x14ac:dyDescent="0.3">
      <c r="C2" s="1"/>
      <c r="E2" s="1"/>
      <c r="F2" s="1"/>
    </row>
    <row r="3" spans="2:7" x14ac:dyDescent="0.3">
      <c r="B3" s="978" t="s">
        <v>505</v>
      </c>
      <c r="C3" s="978"/>
      <c r="D3" s="978"/>
      <c r="E3" s="978"/>
      <c r="F3" s="978"/>
      <c r="G3" s="978"/>
    </row>
    <row r="4" spans="2:7" ht="15" thickBot="1" x14ac:dyDescent="0.35">
      <c r="B4" s="728" t="s">
        <v>369</v>
      </c>
      <c r="C4" s="728"/>
      <c r="D4" s="728"/>
      <c r="E4" s="728"/>
      <c r="F4" s="728"/>
      <c r="G4" s="728"/>
    </row>
    <row r="5" spans="2:7" ht="26.4" x14ac:dyDescent="0.3">
      <c r="B5" s="155" t="s">
        <v>430</v>
      </c>
      <c r="C5" s="155" t="s">
        <v>431</v>
      </c>
      <c r="D5" s="155" t="s">
        <v>432</v>
      </c>
      <c r="E5" s="156" t="s">
        <v>435</v>
      </c>
      <c r="F5" s="157" t="s">
        <v>436</v>
      </c>
      <c r="G5" s="158" t="s">
        <v>465</v>
      </c>
    </row>
    <row r="6" spans="2:7" x14ac:dyDescent="0.3">
      <c r="B6" s="1" t="s">
        <v>433</v>
      </c>
      <c r="C6" s="1" t="s">
        <v>422</v>
      </c>
      <c r="D6" s="1" t="s">
        <v>437</v>
      </c>
      <c r="E6" s="86">
        <v>0</v>
      </c>
      <c r="F6" s="87">
        <f>'High Level'!F12</f>
        <v>353.52000000000044</v>
      </c>
      <c r="G6" s="153" t="s">
        <v>439</v>
      </c>
    </row>
    <row r="7" spans="2:7" x14ac:dyDescent="0.3">
      <c r="B7" s="1" t="s">
        <v>31</v>
      </c>
      <c r="C7" s="1" t="s">
        <v>422</v>
      </c>
      <c r="D7" s="1" t="s">
        <v>463</v>
      </c>
      <c r="E7" s="86">
        <v>53.29</v>
      </c>
      <c r="F7" s="87">
        <v>53.29</v>
      </c>
      <c r="G7" s="153" t="s">
        <v>500</v>
      </c>
    </row>
    <row r="8" spans="2:7" x14ac:dyDescent="0.3">
      <c r="B8" s="1"/>
      <c r="C8" s="1"/>
      <c r="D8" s="1" t="s">
        <v>499</v>
      </c>
      <c r="E8" s="86"/>
      <c r="F8" s="87"/>
      <c r="G8" s="153"/>
    </row>
    <row r="9" spans="2:7" x14ac:dyDescent="0.3">
      <c r="B9" s="1"/>
      <c r="C9" s="1"/>
      <c r="D9" s="1" t="s">
        <v>499</v>
      </c>
      <c r="E9" s="86"/>
      <c r="F9" s="87"/>
      <c r="G9" s="153"/>
    </row>
    <row r="10" spans="2:7" x14ac:dyDescent="0.3">
      <c r="B10" s="14"/>
      <c r="C10" s="14"/>
      <c r="D10" s="206" t="s">
        <v>499</v>
      </c>
      <c r="E10" s="150"/>
      <c r="F10" s="151"/>
      <c r="G10" s="154"/>
    </row>
    <row r="11" spans="2:7" x14ac:dyDescent="0.3">
      <c r="B11" s="1"/>
      <c r="C11" s="1"/>
      <c r="E11" s="149">
        <f>SUM(E6:E10)</f>
        <v>53.29</v>
      </c>
      <c r="F11" s="149">
        <f>SUM(F6:F10)</f>
        <v>406.81000000000046</v>
      </c>
      <c r="G11" s="207" t="s">
        <v>501</v>
      </c>
    </row>
  </sheetData>
  <mergeCells count="2">
    <mergeCell ref="B3:G3"/>
    <mergeCell ref="B4:G4"/>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8FD7-0BD7-4BCA-9832-18991482A27A}">
  <dimension ref="B1:M40"/>
  <sheetViews>
    <sheetView showGridLines="0" workbookViewId="0">
      <selection activeCell="J26" sqref="J26"/>
    </sheetView>
  </sheetViews>
  <sheetFormatPr defaultColWidth="9.33203125" defaultRowHeight="15" outlineLevelCol="1" x14ac:dyDescent="0.35"/>
  <cols>
    <col min="1" max="1" width="4.44140625" style="17" customWidth="1"/>
    <col min="2" max="2" width="9.5546875" style="17" hidden="1" customWidth="1" outlineLevel="1"/>
    <col min="3" max="3" width="41" style="17" bestFit="1" customWidth="1" collapsed="1"/>
    <col min="4" max="4" width="13.6640625" style="17" hidden="1" customWidth="1" outlineLevel="1"/>
    <col min="5" max="5" width="11.6640625" style="17" customWidth="1" collapsed="1"/>
    <col min="6" max="12" width="11.6640625" style="17" customWidth="1"/>
    <col min="13" max="13" width="12.6640625" style="17" customWidth="1"/>
    <col min="14" max="16384" width="9.33203125" style="17"/>
  </cols>
  <sheetData>
    <row r="1" spans="2:12" ht="16.2" x14ac:dyDescent="0.35">
      <c r="C1" s="727" t="s">
        <v>417</v>
      </c>
      <c r="D1" s="727"/>
      <c r="E1" s="727"/>
      <c r="F1" s="727"/>
      <c r="G1" s="727"/>
      <c r="H1" s="727"/>
      <c r="I1" s="727"/>
      <c r="J1" s="727"/>
      <c r="K1" s="727"/>
      <c r="L1" s="727"/>
    </row>
    <row r="2" spans="2:12" ht="15.6" thickBot="1" x14ac:dyDescent="0.4">
      <c r="C2" s="762" t="s">
        <v>369</v>
      </c>
      <c r="D2" s="762"/>
      <c r="E2" s="762"/>
      <c r="F2" s="762"/>
      <c r="G2" s="762"/>
      <c r="H2" s="762"/>
      <c r="I2" s="762"/>
      <c r="J2" s="762"/>
      <c r="K2" s="762"/>
      <c r="L2" s="762"/>
    </row>
    <row r="3" spans="2:12" x14ac:dyDescent="0.35">
      <c r="C3" s="987"/>
      <c r="D3" s="990" t="s">
        <v>381</v>
      </c>
      <c r="E3" s="993" t="s">
        <v>382</v>
      </c>
      <c r="F3" s="872" t="s">
        <v>25</v>
      </c>
      <c r="G3" s="872" t="s">
        <v>26</v>
      </c>
      <c r="H3" s="872" t="s">
        <v>449</v>
      </c>
      <c r="I3" s="982" t="s">
        <v>416</v>
      </c>
      <c r="J3" s="983"/>
      <c r="K3" s="983"/>
      <c r="L3" s="983"/>
    </row>
    <row r="4" spans="2:12" x14ac:dyDescent="0.35">
      <c r="C4" s="988"/>
      <c r="D4" s="991"/>
      <c r="E4" s="994"/>
      <c r="F4" s="980"/>
      <c r="G4" s="980"/>
      <c r="H4" s="980"/>
      <c r="I4" s="984" t="s">
        <v>372</v>
      </c>
      <c r="J4" s="763"/>
      <c r="K4" s="985" t="s">
        <v>373</v>
      </c>
      <c r="L4" s="986"/>
    </row>
    <row r="5" spans="2:12" x14ac:dyDescent="0.35">
      <c r="C5" s="989"/>
      <c r="D5" s="992"/>
      <c r="E5" s="995"/>
      <c r="F5" s="981"/>
      <c r="G5" s="981"/>
      <c r="H5" s="981"/>
      <c r="I5" s="67" t="s">
        <v>377</v>
      </c>
      <c r="J5" s="68" t="s">
        <v>378</v>
      </c>
      <c r="K5" s="67" t="s">
        <v>377</v>
      </c>
      <c r="L5" s="68" t="s">
        <v>378</v>
      </c>
    </row>
    <row r="6" spans="2:12" x14ac:dyDescent="0.35">
      <c r="B6" s="17" t="s">
        <v>337</v>
      </c>
      <c r="C6" s="17" t="s">
        <v>14</v>
      </c>
      <c r="D6" s="31" t="s">
        <v>383</v>
      </c>
      <c r="E6" s="30" t="s">
        <v>36</v>
      </c>
      <c r="F6" s="32">
        <v>215</v>
      </c>
      <c r="G6" s="32">
        <v>247.25</v>
      </c>
      <c r="H6" s="64">
        <f>IF('High Level'!K30="FY 2022 Enacted", 'IA Detail'!F6, ROUND('IA Detail'!F6*1.04, 2))</f>
        <v>223.6</v>
      </c>
      <c r="I6" s="70">
        <f>ROUND(H6-F6, 2)</f>
        <v>8.6</v>
      </c>
      <c r="J6" s="71">
        <f>IFERROR(I6/F6, "N/A")</f>
        <v>0.04</v>
      </c>
      <c r="K6" s="70">
        <f>H6-G6</f>
        <v>-23.650000000000006</v>
      </c>
      <c r="L6" s="71">
        <f>IFERROR(K6/G6, "N/A")</f>
        <v>-9.5652173913043495E-2</v>
      </c>
    </row>
    <row r="7" spans="2:12" x14ac:dyDescent="0.35">
      <c r="B7" s="1" t="s">
        <v>336</v>
      </c>
      <c r="C7" s="17" t="s">
        <v>353</v>
      </c>
      <c r="D7" s="31" t="s">
        <v>383</v>
      </c>
      <c r="E7" s="30" t="s">
        <v>384</v>
      </c>
      <c r="F7" s="32">
        <v>0</v>
      </c>
      <c r="G7" s="32">
        <v>4</v>
      </c>
      <c r="H7" s="65">
        <f>G7</f>
        <v>4</v>
      </c>
      <c r="I7" s="70">
        <f>H7-F7</f>
        <v>4</v>
      </c>
      <c r="J7" s="71" t="str">
        <f t="shared" ref="J7:J22" si="0">IFERROR(I7/F7, "N/A")</f>
        <v>N/A</v>
      </c>
      <c r="K7" s="70">
        <f t="shared" ref="K7:K22" si="1">H7-G7</f>
        <v>0</v>
      </c>
      <c r="L7" s="71">
        <f t="shared" ref="L7:L22" si="2">IFERROR(K7/G7, "N/A")</f>
        <v>0</v>
      </c>
    </row>
    <row r="8" spans="2:12" x14ac:dyDescent="0.35">
      <c r="B8" s="1" t="s">
        <v>336</v>
      </c>
      <c r="C8" s="17" t="s">
        <v>167</v>
      </c>
      <c r="D8" s="31" t="s">
        <v>385</v>
      </c>
      <c r="E8" s="30" t="s">
        <v>36</v>
      </c>
      <c r="F8" s="32">
        <v>7</v>
      </c>
      <c r="G8" s="32">
        <v>7</v>
      </c>
      <c r="H8" s="32">
        <f>IF(OR(F8&lt;G8, F8=G8), F8, G8)</f>
        <v>7</v>
      </c>
      <c r="I8" s="70">
        <f t="shared" ref="I8:I22" si="3">H8-F8</f>
        <v>0</v>
      </c>
      <c r="J8" s="71">
        <f t="shared" si="0"/>
        <v>0</v>
      </c>
      <c r="K8" s="70">
        <f t="shared" si="1"/>
        <v>0</v>
      </c>
      <c r="L8" s="71">
        <f t="shared" si="2"/>
        <v>0</v>
      </c>
    </row>
    <row r="9" spans="2:12" x14ac:dyDescent="0.35">
      <c r="B9" s="1" t="s">
        <v>336</v>
      </c>
      <c r="C9" s="17" t="s">
        <v>386</v>
      </c>
      <c r="D9" s="31" t="s">
        <v>385</v>
      </c>
      <c r="E9" s="30" t="s">
        <v>387</v>
      </c>
      <c r="F9" s="32">
        <v>0</v>
      </c>
      <c r="G9" s="32">
        <v>12</v>
      </c>
      <c r="H9" s="32">
        <f t="shared" ref="H9:H17" si="4">IF(OR(F9&lt;G9, F9=G9), F9, G9)</f>
        <v>0</v>
      </c>
      <c r="I9" s="70">
        <f t="shared" si="3"/>
        <v>0</v>
      </c>
      <c r="J9" s="71" t="str">
        <f t="shared" si="0"/>
        <v>N/A</v>
      </c>
      <c r="K9" s="70">
        <f t="shared" si="1"/>
        <v>-12</v>
      </c>
      <c r="L9" s="71">
        <f t="shared" si="2"/>
        <v>-1</v>
      </c>
    </row>
    <row r="10" spans="2:12" x14ac:dyDescent="0.35">
      <c r="B10" s="1" t="s">
        <v>336</v>
      </c>
      <c r="C10" s="17" t="s">
        <v>388</v>
      </c>
      <c r="D10" s="31" t="s">
        <v>383</v>
      </c>
      <c r="E10" s="30" t="s">
        <v>36</v>
      </c>
      <c r="F10" s="32">
        <v>0</v>
      </c>
      <c r="G10" s="32">
        <v>50</v>
      </c>
      <c r="H10" s="65">
        <v>50</v>
      </c>
      <c r="I10" s="70">
        <f t="shared" si="3"/>
        <v>50</v>
      </c>
      <c r="J10" s="71" t="str">
        <f t="shared" si="0"/>
        <v>N/A</v>
      </c>
      <c r="K10" s="70">
        <f t="shared" si="1"/>
        <v>0</v>
      </c>
      <c r="L10" s="71">
        <f t="shared" si="2"/>
        <v>0</v>
      </c>
    </row>
    <row r="11" spans="2:12" x14ac:dyDescent="0.35">
      <c r="B11" s="1" t="s">
        <v>336</v>
      </c>
      <c r="C11" s="17" t="s">
        <v>389</v>
      </c>
      <c r="D11" s="31" t="s">
        <v>385</v>
      </c>
      <c r="E11" s="30" t="s">
        <v>36</v>
      </c>
      <c r="F11" s="32">
        <v>18.5</v>
      </c>
      <c r="G11" s="32">
        <v>16</v>
      </c>
      <c r="H11" s="32">
        <f t="shared" si="4"/>
        <v>16</v>
      </c>
      <c r="I11" s="70">
        <f t="shared" si="3"/>
        <v>-2.5</v>
      </c>
      <c r="J11" s="71">
        <f t="shared" si="0"/>
        <v>-0.13513513513513514</v>
      </c>
      <c r="K11" s="70">
        <f t="shared" si="1"/>
        <v>0</v>
      </c>
      <c r="L11" s="71">
        <f t="shared" si="2"/>
        <v>0</v>
      </c>
    </row>
    <row r="12" spans="2:12" x14ac:dyDescent="0.35">
      <c r="B12" s="1" t="s">
        <v>336</v>
      </c>
      <c r="C12" s="17" t="s">
        <v>390</v>
      </c>
      <c r="D12" s="31" t="s">
        <v>383</v>
      </c>
      <c r="E12" s="30" t="s">
        <v>36</v>
      </c>
      <c r="F12" s="32">
        <v>22</v>
      </c>
      <c r="G12" s="32">
        <v>37.93</v>
      </c>
      <c r="H12" s="32">
        <f t="shared" si="4"/>
        <v>22</v>
      </c>
      <c r="I12" s="70">
        <f t="shared" si="3"/>
        <v>0</v>
      </c>
      <c r="J12" s="71">
        <f t="shared" si="0"/>
        <v>0</v>
      </c>
      <c r="K12" s="70">
        <f t="shared" si="1"/>
        <v>-15.93</v>
      </c>
      <c r="L12" s="71">
        <f t="shared" si="2"/>
        <v>-0.41998418138676508</v>
      </c>
    </row>
    <row r="13" spans="2:12" x14ac:dyDescent="0.35">
      <c r="B13" s="1" t="s">
        <v>336</v>
      </c>
      <c r="C13" s="17" t="s">
        <v>391</v>
      </c>
      <c r="D13" s="31" t="s">
        <v>392</v>
      </c>
      <c r="E13" s="30" t="s">
        <v>387</v>
      </c>
      <c r="F13" s="32">
        <v>78.75</v>
      </c>
      <c r="G13" s="32">
        <v>75</v>
      </c>
      <c r="H13" s="32">
        <f t="shared" si="4"/>
        <v>75</v>
      </c>
      <c r="I13" s="70">
        <f>H13-F13</f>
        <v>-3.75</v>
      </c>
      <c r="J13" s="71">
        <f t="shared" si="0"/>
        <v>-4.7619047619047616E-2</v>
      </c>
      <c r="K13" s="70">
        <f t="shared" si="1"/>
        <v>0</v>
      </c>
      <c r="L13" s="71">
        <f t="shared" si="2"/>
        <v>0</v>
      </c>
    </row>
    <row r="14" spans="2:12" x14ac:dyDescent="0.35">
      <c r="B14" s="1" t="s">
        <v>336</v>
      </c>
      <c r="C14" s="17" t="s">
        <v>393</v>
      </c>
      <c r="D14" s="31" t="s">
        <v>392</v>
      </c>
      <c r="E14" s="30" t="s">
        <v>387</v>
      </c>
      <c r="F14" s="32">
        <v>40</v>
      </c>
      <c r="G14" s="32">
        <v>50</v>
      </c>
      <c r="H14" s="32">
        <f t="shared" si="4"/>
        <v>40</v>
      </c>
      <c r="I14" s="70">
        <f t="shared" si="3"/>
        <v>0</v>
      </c>
      <c r="J14" s="71">
        <f t="shared" si="0"/>
        <v>0</v>
      </c>
      <c r="K14" s="70">
        <f t="shared" si="1"/>
        <v>-10</v>
      </c>
      <c r="L14" s="71">
        <f t="shared" si="2"/>
        <v>-0.2</v>
      </c>
    </row>
    <row r="15" spans="2:12" x14ac:dyDescent="0.35">
      <c r="B15" s="1" t="s">
        <v>336</v>
      </c>
      <c r="C15" s="17" t="s">
        <v>170</v>
      </c>
      <c r="D15" s="31" t="s">
        <v>385</v>
      </c>
      <c r="E15" s="30" t="s">
        <v>36</v>
      </c>
      <c r="F15" s="32">
        <v>3</v>
      </c>
      <c r="G15" s="32">
        <v>3</v>
      </c>
      <c r="H15" s="32">
        <f t="shared" si="4"/>
        <v>3</v>
      </c>
      <c r="I15" s="70">
        <f t="shared" si="3"/>
        <v>0</v>
      </c>
      <c r="J15" s="71">
        <f t="shared" si="0"/>
        <v>0</v>
      </c>
      <c r="K15" s="70">
        <f t="shared" si="1"/>
        <v>0</v>
      </c>
      <c r="L15" s="71">
        <f t="shared" si="2"/>
        <v>0</v>
      </c>
    </row>
    <row r="16" spans="2:12" x14ac:dyDescent="0.35">
      <c r="B16" s="1" t="s">
        <v>336</v>
      </c>
      <c r="C16" s="17" t="s">
        <v>173</v>
      </c>
      <c r="D16" s="31" t="s">
        <v>385</v>
      </c>
      <c r="E16" s="30" t="s">
        <v>36</v>
      </c>
      <c r="F16" s="32">
        <v>3</v>
      </c>
      <c r="G16" s="32">
        <v>2.5</v>
      </c>
      <c r="H16" s="32">
        <f t="shared" si="4"/>
        <v>2.5</v>
      </c>
      <c r="I16" s="70">
        <f>H16-F16</f>
        <v>-0.5</v>
      </c>
      <c r="J16" s="71">
        <f t="shared" si="0"/>
        <v>-0.16666666666666666</v>
      </c>
      <c r="K16" s="70">
        <f t="shared" si="1"/>
        <v>0</v>
      </c>
      <c r="L16" s="71">
        <f t="shared" si="2"/>
        <v>0</v>
      </c>
    </row>
    <row r="17" spans="2:13" x14ac:dyDescent="0.35">
      <c r="B17" s="1" t="s">
        <v>336</v>
      </c>
      <c r="C17" s="17" t="s">
        <v>394</v>
      </c>
      <c r="D17" s="31" t="s">
        <v>385</v>
      </c>
      <c r="E17" s="30" t="s">
        <v>395</v>
      </c>
      <c r="F17" s="32">
        <v>5.5</v>
      </c>
      <c r="G17" s="32">
        <v>5.4</v>
      </c>
      <c r="H17" s="32">
        <f t="shared" si="4"/>
        <v>5.4</v>
      </c>
      <c r="I17" s="70">
        <f>H17-F17</f>
        <v>-9.9999999999999645E-2</v>
      </c>
      <c r="J17" s="71">
        <f t="shared" si="0"/>
        <v>-1.8181818181818118E-2</v>
      </c>
      <c r="K17" s="70">
        <f t="shared" si="1"/>
        <v>0</v>
      </c>
      <c r="L17" s="71">
        <f t="shared" si="2"/>
        <v>0</v>
      </c>
    </row>
    <row r="18" spans="2:13" x14ac:dyDescent="0.35">
      <c r="B18" s="1" t="s">
        <v>336</v>
      </c>
      <c r="C18" s="17" t="s">
        <v>178</v>
      </c>
      <c r="D18" s="31" t="s">
        <v>385</v>
      </c>
      <c r="E18" s="30" t="s">
        <v>396</v>
      </c>
      <c r="F18" s="32">
        <v>1.5</v>
      </c>
      <c r="G18" s="32">
        <v>2.5</v>
      </c>
      <c r="H18" s="65">
        <f>G18</f>
        <v>2.5</v>
      </c>
      <c r="I18" s="70">
        <f t="shared" si="3"/>
        <v>1</v>
      </c>
      <c r="J18" s="71">
        <f t="shared" si="0"/>
        <v>0.66666666666666663</v>
      </c>
      <c r="K18" s="70">
        <f t="shared" si="1"/>
        <v>0</v>
      </c>
      <c r="L18" s="71">
        <f t="shared" si="2"/>
        <v>0</v>
      </c>
    </row>
    <row r="19" spans="2:13" x14ac:dyDescent="0.35">
      <c r="B19" s="1" t="s">
        <v>336</v>
      </c>
      <c r="C19" s="17" t="s">
        <v>397</v>
      </c>
      <c r="D19" s="31" t="s">
        <v>385</v>
      </c>
      <c r="E19" s="30" t="s">
        <v>36</v>
      </c>
      <c r="F19" s="32">
        <v>0</v>
      </c>
      <c r="G19" s="32">
        <v>27</v>
      </c>
      <c r="H19" s="65">
        <f>H39</f>
        <v>27</v>
      </c>
      <c r="I19" s="70">
        <f t="shared" si="3"/>
        <v>27</v>
      </c>
      <c r="J19" s="71" t="str">
        <f t="shared" si="0"/>
        <v>N/A</v>
      </c>
      <c r="K19" s="70">
        <f t="shared" si="1"/>
        <v>0</v>
      </c>
      <c r="L19" s="71">
        <f t="shared" si="2"/>
        <v>0</v>
      </c>
      <c r="M19" s="17" t="s">
        <v>428</v>
      </c>
    </row>
    <row r="20" spans="2:13" x14ac:dyDescent="0.35">
      <c r="B20" s="1" t="s">
        <v>336</v>
      </c>
      <c r="C20" s="17" t="s">
        <v>398</v>
      </c>
      <c r="D20" s="31" t="s">
        <v>385</v>
      </c>
      <c r="E20" s="30" t="s">
        <v>36</v>
      </c>
      <c r="F20" s="32">
        <v>0.6</v>
      </c>
      <c r="G20" s="32">
        <v>0.6</v>
      </c>
      <c r="H20" s="32">
        <f t="shared" ref="H20:H21" si="5">IF(OR(F20&lt;G20, F20=G20), F20, G20)</f>
        <v>0.6</v>
      </c>
      <c r="I20" s="70">
        <f t="shared" si="3"/>
        <v>0</v>
      </c>
      <c r="J20" s="71">
        <f t="shared" si="0"/>
        <v>0</v>
      </c>
      <c r="K20" s="70">
        <f t="shared" si="1"/>
        <v>0</v>
      </c>
      <c r="L20" s="71">
        <f t="shared" si="2"/>
        <v>0</v>
      </c>
    </row>
    <row r="21" spans="2:13" x14ac:dyDescent="0.35">
      <c r="B21" s="1" t="s">
        <v>336</v>
      </c>
      <c r="C21" s="17" t="s">
        <v>399</v>
      </c>
      <c r="D21" s="31" t="s">
        <v>385</v>
      </c>
      <c r="E21" s="30" t="s">
        <v>400</v>
      </c>
      <c r="F21" s="32">
        <v>4.9800000000000004</v>
      </c>
      <c r="G21" s="32">
        <v>5.68</v>
      </c>
      <c r="H21" s="32">
        <f t="shared" si="5"/>
        <v>4.9800000000000004</v>
      </c>
      <c r="I21" s="70">
        <f t="shared" si="3"/>
        <v>0</v>
      </c>
      <c r="J21" s="71">
        <f t="shared" si="0"/>
        <v>0</v>
      </c>
      <c r="K21" s="70">
        <f t="shared" si="1"/>
        <v>-0.69999999999999929</v>
      </c>
      <c r="L21" s="71">
        <f t="shared" si="2"/>
        <v>-0.12323943661971819</v>
      </c>
    </row>
    <row r="22" spans="2:13" ht="15.6" thickBot="1" x14ac:dyDescent="0.4">
      <c r="C22" s="979" t="s">
        <v>401</v>
      </c>
      <c r="D22" s="979"/>
      <c r="E22" s="979"/>
      <c r="F22" s="33">
        <f>SUM(F6:F21)</f>
        <v>399.83000000000004</v>
      </c>
      <c r="G22" s="33">
        <f>SUM(G6:G21)</f>
        <v>545.8599999999999</v>
      </c>
      <c r="H22" s="33">
        <f>SUM(H6:H21)</f>
        <v>483.58000000000004</v>
      </c>
      <c r="I22" s="72">
        <f t="shared" si="3"/>
        <v>83.75</v>
      </c>
      <c r="J22" s="69">
        <f t="shared" si="0"/>
        <v>0.20946402220943899</v>
      </c>
      <c r="K22" s="72">
        <f t="shared" si="1"/>
        <v>-62.279999999999859</v>
      </c>
      <c r="L22" s="69">
        <f t="shared" si="2"/>
        <v>-0.11409518924266272</v>
      </c>
    </row>
    <row r="23" spans="2:13" x14ac:dyDescent="0.35">
      <c r="C23" s="1" t="s">
        <v>549</v>
      </c>
    </row>
    <row r="25" spans="2:13" x14ac:dyDescent="0.35">
      <c r="C25" s="66" t="s">
        <v>410</v>
      </c>
    </row>
    <row r="26" spans="2:13" x14ac:dyDescent="0.35">
      <c r="C26" s="63" t="s">
        <v>412</v>
      </c>
    </row>
    <row r="27" spans="2:13" x14ac:dyDescent="0.35">
      <c r="C27" s="63" t="s">
        <v>411</v>
      </c>
    </row>
    <row r="28" spans="2:13" x14ac:dyDescent="0.35">
      <c r="C28" s="63" t="s">
        <v>413</v>
      </c>
    </row>
    <row r="29" spans="2:13" x14ac:dyDescent="0.35">
      <c r="C29" s="63" t="s">
        <v>415</v>
      </c>
    </row>
    <row r="30" spans="2:13" x14ac:dyDescent="0.35">
      <c r="C30" s="63" t="s">
        <v>427</v>
      </c>
    </row>
    <row r="31" spans="2:13" x14ac:dyDescent="0.35">
      <c r="C31" s="85" t="s">
        <v>414</v>
      </c>
    </row>
    <row r="35" spans="2:8" ht="75" x14ac:dyDescent="0.35">
      <c r="C35" s="75"/>
      <c r="E35" s="76" t="s">
        <v>418</v>
      </c>
      <c r="F35" s="76" t="s">
        <v>419</v>
      </c>
      <c r="G35" s="76" t="s">
        <v>420</v>
      </c>
      <c r="H35" s="76" t="s">
        <v>421</v>
      </c>
    </row>
    <row r="36" spans="2:8" x14ac:dyDescent="0.35">
      <c r="B36" s="17" t="s">
        <v>325</v>
      </c>
      <c r="C36" s="17" t="s">
        <v>0</v>
      </c>
      <c r="E36" s="32">
        <v>-5</v>
      </c>
      <c r="F36" s="32">
        <v>0</v>
      </c>
      <c r="G36" s="32"/>
      <c r="H36" s="46" t="s">
        <v>422</v>
      </c>
    </row>
    <row r="37" spans="2:8" x14ac:dyDescent="0.35">
      <c r="B37" s="17" t="s">
        <v>326</v>
      </c>
      <c r="C37" s="17" t="s">
        <v>1</v>
      </c>
      <c r="E37" s="32">
        <v>-5</v>
      </c>
      <c r="F37" s="32">
        <v>0</v>
      </c>
      <c r="G37" s="32"/>
      <c r="H37" s="46" t="s">
        <v>422</v>
      </c>
    </row>
    <row r="38" spans="2:8" x14ac:dyDescent="0.35">
      <c r="B38" s="17" t="s">
        <v>329</v>
      </c>
      <c r="C38" s="17" t="s">
        <v>7</v>
      </c>
      <c r="E38" s="32">
        <v>-5</v>
      </c>
      <c r="F38" s="32">
        <v>0</v>
      </c>
      <c r="G38" s="32"/>
      <c r="H38" s="46" t="s">
        <v>422</v>
      </c>
    </row>
    <row r="39" spans="2:8" x14ac:dyDescent="0.35">
      <c r="B39" s="1" t="s">
        <v>336</v>
      </c>
      <c r="C39" s="73" t="s">
        <v>36</v>
      </c>
      <c r="E39" s="74">
        <v>0</v>
      </c>
      <c r="F39" s="74">
        <v>15</v>
      </c>
      <c r="G39" s="74">
        <v>12</v>
      </c>
      <c r="H39" s="74">
        <f>SUM(E39:G39)</f>
        <v>27</v>
      </c>
    </row>
    <row r="40" spans="2:8" x14ac:dyDescent="0.35">
      <c r="C40" s="83" t="s">
        <v>24</v>
      </c>
      <c r="E40" s="84">
        <f>SUM(E36:E39)</f>
        <v>-15</v>
      </c>
      <c r="F40" s="84">
        <f>SUM(F36:F39)</f>
        <v>15</v>
      </c>
      <c r="G40" s="84">
        <f>SUM(G36:G39)</f>
        <v>12</v>
      </c>
      <c r="H40" s="84">
        <f>SUM(H36:H39)</f>
        <v>27</v>
      </c>
    </row>
  </sheetData>
  <mergeCells count="12">
    <mergeCell ref="C1:L1"/>
    <mergeCell ref="C2:L2"/>
    <mergeCell ref="C22:E22"/>
    <mergeCell ref="H3:H5"/>
    <mergeCell ref="I3:L3"/>
    <mergeCell ref="I4:J4"/>
    <mergeCell ref="K4:L4"/>
    <mergeCell ref="C3:C5"/>
    <mergeCell ref="D3:D5"/>
    <mergeCell ref="E3:E5"/>
    <mergeCell ref="F3:F5"/>
    <mergeCell ref="G3:G5"/>
  </mergeCells>
  <conditionalFormatting sqref="I6:I22">
    <cfRule type="cellIs" dxfId="0" priority="1" operator="lessThan">
      <formula>0</formula>
    </cfRule>
  </conditionalFormatting>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A13F-1BA7-4E07-A4A0-9F6253479A5E}">
  <dimension ref="B1:AB118"/>
  <sheetViews>
    <sheetView showGridLines="0" zoomScale="140" zoomScaleNormal="140" workbookViewId="0">
      <selection activeCell="F35" sqref="F35"/>
    </sheetView>
  </sheetViews>
  <sheetFormatPr defaultColWidth="9.33203125" defaultRowHeight="14.4" outlineLevelRow="2" outlineLevelCol="1" x14ac:dyDescent="0.3"/>
  <cols>
    <col min="1" max="1" width="3.44140625" style="1" customWidth="1"/>
    <col min="2" max="2" width="7.6640625" style="1" hidden="1" customWidth="1" outlineLevel="1"/>
    <col min="3" max="3" width="45.44140625" style="1" customWidth="1" collapsed="1"/>
    <col min="4" max="10" width="10.6640625" style="1" customWidth="1"/>
    <col min="11" max="11" width="11.6640625" style="1" customWidth="1"/>
    <col min="12" max="12" width="10.6640625" customWidth="1"/>
    <col min="13" max="17" width="10.6640625" style="1" customWidth="1"/>
    <col min="18" max="24" width="11.6640625" style="1" customWidth="1"/>
    <col min="25" max="25" width="11.6640625" style="1" customWidth="1" outlineLevel="1"/>
    <col min="26" max="27" width="11.6640625" style="1" customWidth="1"/>
    <col min="28" max="28" width="11.6640625" style="1" customWidth="1" outlineLevel="1"/>
    <col min="29" max="33" width="11.6640625" style="1" customWidth="1"/>
    <col min="34" max="34" width="10.6640625" style="1" customWidth="1"/>
    <col min="35" max="16384" width="9.33203125" style="1"/>
  </cols>
  <sheetData>
    <row r="1" spans="2:28" outlineLevel="1" x14ac:dyDescent="0.3">
      <c r="C1" s="836" t="s">
        <v>370</v>
      </c>
      <c r="D1" s="836"/>
      <c r="E1" s="836"/>
      <c r="F1" s="836"/>
      <c r="G1" s="836"/>
    </row>
    <row r="2" spans="2:28" ht="15" outlineLevel="1" thickBot="1" x14ac:dyDescent="0.35">
      <c r="C2" s="728" t="s">
        <v>369</v>
      </c>
      <c r="D2" s="728"/>
      <c r="E2" s="728"/>
      <c r="F2" s="728"/>
      <c r="G2" s="728"/>
    </row>
    <row r="3" spans="2:28" outlineLevel="1" x14ac:dyDescent="0.3">
      <c r="C3" s="13"/>
      <c r="D3" s="977" t="s">
        <v>364</v>
      </c>
      <c r="E3" s="1000" t="s">
        <v>403</v>
      </c>
      <c r="F3" s="1003" t="s">
        <v>429</v>
      </c>
      <c r="G3" s="1004"/>
    </row>
    <row r="4" spans="2:28" outlineLevel="1" x14ac:dyDescent="0.3">
      <c r="D4" s="1001"/>
      <c r="E4" s="823"/>
      <c r="F4" s="1005" t="s">
        <v>375</v>
      </c>
      <c r="G4" s="999"/>
    </row>
    <row r="5" spans="2:28" outlineLevel="1" x14ac:dyDescent="0.3">
      <c r="C5" s="14"/>
      <c r="D5" s="1002"/>
      <c r="E5" s="824"/>
      <c r="F5" s="34" t="s">
        <v>377</v>
      </c>
      <c r="G5" s="35" t="s">
        <v>378</v>
      </c>
    </row>
    <row r="6" spans="2:28" outlineLevel="1" x14ac:dyDescent="0.3">
      <c r="B6" s="1" t="s">
        <v>29</v>
      </c>
      <c r="C6" s="55" t="s">
        <v>19</v>
      </c>
      <c r="D6" s="56">
        <v>7159.4</v>
      </c>
      <c r="E6" s="52">
        <f>ROUND(D6*1.04, 2)</f>
        <v>7445.78</v>
      </c>
      <c r="F6" s="51">
        <f>E6-D6</f>
        <v>286.38000000000011</v>
      </c>
      <c r="G6" s="58">
        <f>IFERROR(F6/D6, "N/A")</f>
        <v>4.0000558706036839E-2</v>
      </c>
    </row>
    <row r="7" spans="2:28" outlineLevel="1" x14ac:dyDescent="0.3">
      <c r="B7" s="1" t="s">
        <v>30</v>
      </c>
      <c r="C7" s="57" t="s">
        <v>20</v>
      </c>
      <c r="D7" s="53">
        <v>1006</v>
      </c>
      <c r="E7" s="54">
        <f t="shared" ref="E7:E12" si="0">ROUND(D7*1.04, 2)</f>
        <v>1046.24</v>
      </c>
      <c r="F7" s="53">
        <f t="shared" ref="F7:F11" si="1">E7-D7</f>
        <v>40.240000000000009</v>
      </c>
      <c r="G7" s="59">
        <f t="shared" ref="G7:G12" si="2">IFERROR(F7/D7, "N/A")</f>
        <v>4.0000000000000008E-2</v>
      </c>
    </row>
    <row r="8" spans="2:28" outlineLevel="1" x14ac:dyDescent="0.3">
      <c r="B8" s="1" t="s">
        <v>31</v>
      </c>
      <c r="C8" s="55" t="s">
        <v>21</v>
      </c>
      <c r="D8" s="53">
        <v>249</v>
      </c>
      <c r="E8" s="54">
        <f t="shared" si="0"/>
        <v>258.95999999999998</v>
      </c>
      <c r="F8" s="53">
        <f t="shared" si="1"/>
        <v>9.9599999999999795</v>
      </c>
      <c r="G8" s="59">
        <f t="shared" si="2"/>
        <v>3.9999999999999918E-2</v>
      </c>
    </row>
    <row r="9" spans="2:28" outlineLevel="1" x14ac:dyDescent="0.3">
      <c r="B9" s="1" t="s">
        <v>32</v>
      </c>
      <c r="C9" s="55" t="s">
        <v>22</v>
      </c>
      <c r="D9" s="53">
        <v>400</v>
      </c>
      <c r="E9" s="54">
        <f t="shared" si="0"/>
        <v>416</v>
      </c>
      <c r="F9" s="53">
        <f t="shared" si="1"/>
        <v>16</v>
      </c>
      <c r="G9" s="59">
        <f t="shared" si="2"/>
        <v>0.04</v>
      </c>
    </row>
    <row r="10" spans="2:28" outlineLevel="1" x14ac:dyDescent="0.3">
      <c r="B10" s="1" t="s">
        <v>33</v>
      </c>
      <c r="C10" s="55" t="s">
        <v>23</v>
      </c>
      <c r="D10" s="53">
        <v>19</v>
      </c>
      <c r="E10" s="54">
        <f t="shared" si="0"/>
        <v>19.760000000000002</v>
      </c>
      <c r="F10" s="53">
        <f t="shared" si="1"/>
        <v>0.76000000000000156</v>
      </c>
      <c r="G10" s="59">
        <f t="shared" si="2"/>
        <v>4.0000000000000084E-2</v>
      </c>
    </row>
    <row r="11" spans="2:28" outlineLevel="1" x14ac:dyDescent="0.3">
      <c r="B11" s="1" t="s">
        <v>34</v>
      </c>
      <c r="C11" s="163" t="s">
        <v>365</v>
      </c>
      <c r="D11" s="164">
        <v>4.5999999999999996</v>
      </c>
      <c r="E11" s="165">
        <f t="shared" si="0"/>
        <v>4.78</v>
      </c>
      <c r="F11" s="164">
        <f t="shared" si="1"/>
        <v>0.1800000000000006</v>
      </c>
      <c r="G11" s="166">
        <f t="shared" si="2"/>
        <v>3.9130434782608831E-2</v>
      </c>
    </row>
    <row r="12" spans="2:28" ht="16.2" outlineLevel="1" thickBot="1" x14ac:dyDescent="0.4">
      <c r="B12" s="1" t="s">
        <v>24</v>
      </c>
      <c r="C12" s="99" t="s">
        <v>24</v>
      </c>
      <c r="D12" s="167">
        <f>SUM(D6:D11)</f>
        <v>8838</v>
      </c>
      <c r="E12" s="168">
        <f t="shared" si="0"/>
        <v>9191.52</v>
      </c>
      <c r="F12" s="167">
        <f>E12-D12</f>
        <v>353.52000000000044</v>
      </c>
      <c r="G12" s="169">
        <f t="shared" si="2"/>
        <v>4.0000000000000049E-2</v>
      </c>
    </row>
    <row r="13" spans="2:28" x14ac:dyDescent="0.3">
      <c r="D13" s="11">
        <f>D12-SUM(D6:D11)</f>
        <v>0</v>
      </c>
      <c r="E13" s="11">
        <f>E12-SUM(E6:E11)</f>
        <v>0</v>
      </c>
    </row>
    <row r="14" spans="2:28" x14ac:dyDescent="0.3">
      <c r="F14" s="11"/>
    </row>
    <row r="15" spans="2:28" ht="15.75" hidden="1" customHeight="1" outlineLevel="1" x14ac:dyDescent="0.3">
      <c r="C15" s="836" t="s">
        <v>370</v>
      </c>
      <c r="D15" s="836"/>
      <c r="E15" s="836"/>
      <c r="F15" s="836"/>
      <c r="G15" s="836"/>
      <c r="H15" s="836"/>
      <c r="I15" s="836"/>
      <c r="J15" s="836"/>
      <c r="K15" s="836"/>
      <c r="L15" s="836"/>
      <c r="M15" s="836"/>
      <c r="N15" s="836"/>
      <c r="O15" s="836"/>
      <c r="P15" s="836"/>
      <c r="Q15" s="836"/>
      <c r="R15" s="836"/>
      <c r="S15" s="836"/>
      <c r="T15" s="836"/>
      <c r="U15" s="836"/>
      <c r="AB15" s="1" t="s">
        <v>375</v>
      </c>
    </row>
    <row r="16" spans="2:28" ht="16.5" hidden="1" customHeight="1" outlineLevel="1" thickBot="1" x14ac:dyDescent="0.35">
      <c r="C16" s="728" t="s">
        <v>369</v>
      </c>
      <c r="D16" s="728"/>
      <c r="E16" s="728"/>
      <c r="F16" s="728"/>
      <c r="G16" s="728"/>
      <c r="H16" s="728"/>
      <c r="I16" s="728"/>
      <c r="J16" s="728"/>
      <c r="K16" s="728"/>
      <c r="L16" s="728"/>
      <c r="M16" s="728"/>
      <c r="N16" s="728"/>
      <c r="O16" s="728"/>
      <c r="P16" s="728"/>
      <c r="Q16" s="728"/>
      <c r="R16" s="728"/>
      <c r="S16" s="728"/>
      <c r="T16" s="728"/>
      <c r="U16" s="728"/>
      <c r="AB16" s="1" t="s">
        <v>372</v>
      </c>
    </row>
    <row r="17" spans="2:28" ht="13.2" hidden="1" outlineLevel="1" x14ac:dyDescent="0.3">
      <c r="C17" s="13"/>
      <c r="D17" s="977" t="s">
        <v>364</v>
      </c>
      <c r="E17" s="822" t="s">
        <v>25</v>
      </c>
      <c r="F17" s="822" t="s">
        <v>26</v>
      </c>
      <c r="G17" s="822" t="s">
        <v>366</v>
      </c>
      <c r="H17" s="822" t="s">
        <v>367</v>
      </c>
      <c r="I17" s="822" t="s">
        <v>368</v>
      </c>
      <c r="J17" s="1000" t="s">
        <v>403</v>
      </c>
      <c r="K17" s="942" t="s">
        <v>405</v>
      </c>
      <c r="L17" s="825" t="s">
        <v>406</v>
      </c>
      <c r="M17" s="826"/>
      <c r="N17" s="826"/>
      <c r="O17" s="826"/>
      <c r="P17" s="826"/>
      <c r="Q17" s="826"/>
      <c r="R17" s="826"/>
      <c r="S17" s="826"/>
      <c r="T17" s="826"/>
      <c r="U17" s="826"/>
      <c r="AB17" s="1" t="s">
        <v>373</v>
      </c>
    </row>
    <row r="18" spans="2:28" ht="13.2" hidden="1" outlineLevel="1" x14ac:dyDescent="0.3">
      <c r="D18" s="1001"/>
      <c r="E18" s="963"/>
      <c r="F18" s="823"/>
      <c r="G18" s="823"/>
      <c r="H18" s="823"/>
      <c r="I18" s="823"/>
      <c r="J18" s="823"/>
      <c r="K18" s="943"/>
      <c r="L18" s="996" t="s">
        <v>375</v>
      </c>
      <c r="M18" s="997"/>
      <c r="N18" s="999" t="s">
        <v>372</v>
      </c>
      <c r="O18" s="999"/>
      <c r="P18" s="996" t="s">
        <v>373</v>
      </c>
      <c r="Q18" s="998"/>
      <c r="R18" s="996" t="s">
        <v>407</v>
      </c>
      <c r="S18" s="998"/>
      <c r="T18" s="996" t="s">
        <v>408</v>
      </c>
      <c r="U18" s="998"/>
      <c r="V18" s="48"/>
      <c r="W18" s="48"/>
      <c r="AB18" s="1" t="s">
        <v>379</v>
      </c>
    </row>
    <row r="19" spans="2:28" ht="13.2" hidden="1" outlineLevel="1" x14ac:dyDescent="0.3">
      <c r="C19" s="14"/>
      <c r="D19" s="1002"/>
      <c r="E19" s="964"/>
      <c r="F19" s="824"/>
      <c r="G19" s="824"/>
      <c r="H19" s="824"/>
      <c r="I19" s="824"/>
      <c r="J19" s="824"/>
      <c r="K19" s="944"/>
      <c r="L19" s="49" t="s">
        <v>377</v>
      </c>
      <c r="M19" s="60" t="s">
        <v>378</v>
      </c>
      <c r="N19" s="50" t="s">
        <v>377</v>
      </c>
      <c r="O19" s="50" t="s">
        <v>378</v>
      </c>
      <c r="P19" s="49" t="s">
        <v>377</v>
      </c>
      <c r="Q19" s="50" t="s">
        <v>378</v>
      </c>
      <c r="R19" s="49" t="s">
        <v>377</v>
      </c>
      <c r="S19" s="50" t="s">
        <v>378</v>
      </c>
      <c r="T19" s="49" t="s">
        <v>377</v>
      </c>
      <c r="U19" s="50" t="s">
        <v>378</v>
      </c>
      <c r="V19" s="15"/>
      <c r="W19" s="15"/>
      <c r="AB19" s="1" t="s">
        <v>380</v>
      </c>
    </row>
    <row r="20" spans="2:28" ht="13.2" hidden="1" outlineLevel="1" x14ac:dyDescent="0.3">
      <c r="B20" s="1" t="s">
        <v>29</v>
      </c>
      <c r="C20" s="55" t="s">
        <v>19</v>
      </c>
      <c r="D20" s="56">
        <v>7159.4</v>
      </c>
      <c r="E20" s="52">
        <v>6999.52</v>
      </c>
      <c r="F20" s="52">
        <v>8425.9869999999992</v>
      </c>
      <c r="G20" s="52">
        <v>7705.53</v>
      </c>
      <c r="H20" s="52">
        <v>8321.9069999999992</v>
      </c>
      <c r="I20" s="52" t="s">
        <v>376</v>
      </c>
      <c r="J20" s="52">
        <f t="shared" ref="J20:J26" si="3">ROUND(D20*1.04, 2)</f>
        <v>7445.78</v>
      </c>
      <c r="K20" s="79">
        <f t="shared" ref="K20:K25" si="4">IFERROR(INDEX($D$20:$J$26, MATCH(Y20, $B$20:$B$25, 0), MATCH($K$30, $D$27:$J$27, 0)), 0)</f>
        <v>7445.78</v>
      </c>
      <c r="L20" s="51">
        <f>K20-D20</f>
        <v>286.38000000000011</v>
      </c>
      <c r="M20" s="61">
        <f>L20/D20</f>
        <v>4.0000558706036839E-2</v>
      </c>
      <c r="N20" s="51">
        <f>K20-E20</f>
        <v>446.25999999999931</v>
      </c>
      <c r="O20" s="61">
        <f>N20/E20</f>
        <v>6.3755800397741452E-2</v>
      </c>
      <c r="P20" s="51">
        <f>K20-F20</f>
        <v>-980.20699999999943</v>
      </c>
      <c r="Q20" s="61">
        <f>P20/F20</f>
        <v>-0.11633141612964742</v>
      </c>
      <c r="R20" s="51">
        <f>K20-G20</f>
        <v>-259.75</v>
      </c>
      <c r="S20" s="61">
        <f>R20/G20</f>
        <v>-3.3709556643086197E-2</v>
      </c>
      <c r="T20" s="51">
        <f>K20-H20</f>
        <v>-876.1269999999995</v>
      </c>
      <c r="U20" s="58">
        <f>T20/H20</f>
        <v>-0.10527959516971286</v>
      </c>
      <c r="Y20" s="1" t="s">
        <v>29</v>
      </c>
      <c r="AB20" s="1" t="s">
        <v>374</v>
      </c>
    </row>
    <row r="21" spans="2:28" ht="13.2" hidden="1" outlineLevel="1" x14ac:dyDescent="0.3">
      <c r="B21" s="1" t="s">
        <v>30</v>
      </c>
      <c r="C21" s="57" t="s">
        <v>20</v>
      </c>
      <c r="D21" s="53">
        <v>1006</v>
      </c>
      <c r="E21" s="54">
        <v>1149.46</v>
      </c>
      <c r="F21" s="54">
        <v>1377.18</v>
      </c>
      <c r="G21" s="54">
        <v>1250</v>
      </c>
      <c r="H21" s="54">
        <v>1327.18</v>
      </c>
      <c r="I21" s="54" t="s">
        <v>376</v>
      </c>
      <c r="J21" s="54">
        <f t="shared" si="3"/>
        <v>1046.24</v>
      </c>
      <c r="K21" s="80">
        <f t="shared" si="4"/>
        <v>1046.24</v>
      </c>
      <c r="L21" s="53">
        <f t="shared" ref="L21:L26" si="5">K21-D21</f>
        <v>40.240000000000009</v>
      </c>
      <c r="M21" s="62">
        <f t="shared" ref="M21:M26" si="6">L21/D21</f>
        <v>4.0000000000000008E-2</v>
      </c>
      <c r="N21" s="53">
        <f t="shared" ref="N21:N26" si="7">K21-E21</f>
        <v>-103.22000000000003</v>
      </c>
      <c r="O21" s="62">
        <f t="shared" ref="O21:O26" si="8">N21/E21</f>
        <v>-8.979868807962002E-2</v>
      </c>
      <c r="P21" s="53">
        <f t="shared" ref="P21:P26" si="9">K21-F21</f>
        <v>-330.94000000000005</v>
      </c>
      <c r="Q21" s="62">
        <f t="shared" ref="Q21:Q26" si="10">P21/F21</f>
        <v>-0.24030264743896951</v>
      </c>
      <c r="R21" s="53">
        <f t="shared" ref="R21:R26" si="11">K21-G21</f>
        <v>-203.76</v>
      </c>
      <c r="S21" s="62">
        <f t="shared" ref="S21:S26" si="12">R21/G21</f>
        <v>-0.16300799999999999</v>
      </c>
      <c r="T21" s="53">
        <f t="shared" ref="T21:T26" si="13">K21-H21</f>
        <v>-280.94000000000005</v>
      </c>
      <c r="U21" s="59">
        <f t="shared" ref="U21:U26" si="14">T21/H21</f>
        <v>-0.21168191202399075</v>
      </c>
      <c r="Y21" s="1" t="s">
        <v>30</v>
      </c>
      <c r="AB21" s="28" t="s">
        <v>402</v>
      </c>
    </row>
    <row r="22" spans="2:28" ht="13.2" hidden="1" outlineLevel="1" x14ac:dyDescent="0.3">
      <c r="B22" s="1" t="s">
        <v>31</v>
      </c>
      <c r="C22" s="55" t="s">
        <v>21</v>
      </c>
      <c r="D22" s="53">
        <v>249</v>
      </c>
      <c r="E22" s="54">
        <v>240.52</v>
      </c>
      <c r="F22" s="54">
        <v>187.23</v>
      </c>
      <c r="G22" s="54">
        <v>187.23</v>
      </c>
      <c r="H22" s="54">
        <v>187.23</v>
      </c>
      <c r="I22" s="54" t="s">
        <v>376</v>
      </c>
      <c r="J22" s="54">
        <f t="shared" si="3"/>
        <v>258.95999999999998</v>
      </c>
      <c r="K22" s="80">
        <f t="shared" si="4"/>
        <v>258.95999999999998</v>
      </c>
      <c r="L22" s="53">
        <f t="shared" si="5"/>
        <v>9.9599999999999795</v>
      </c>
      <c r="M22" s="62">
        <f t="shared" si="6"/>
        <v>3.9999999999999918E-2</v>
      </c>
      <c r="N22" s="53">
        <f t="shared" si="7"/>
        <v>18.439999999999969</v>
      </c>
      <c r="O22" s="62">
        <f t="shared" si="8"/>
        <v>7.6667221021120779E-2</v>
      </c>
      <c r="P22" s="53">
        <f t="shared" si="9"/>
        <v>71.72999999999999</v>
      </c>
      <c r="Q22" s="62">
        <f t="shared" si="10"/>
        <v>0.38311168082038133</v>
      </c>
      <c r="R22" s="53">
        <f t="shared" si="11"/>
        <v>71.72999999999999</v>
      </c>
      <c r="S22" s="62">
        <f t="shared" si="12"/>
        <v>0.38311168082038133</v>
      </c>
      <c r="T22" s="53">
        <f t="shared" si="13"/>
        <v>71.72999999999999</v>
      </c>
      <c r="U22" s="59">
        <f t="shared" si="14"/>
        <v>0.38311168082038133</v>
      </c>
      <c r="Y22" s="1" t="s">
        <v>31</v>
      </c>
    </row>
    <row r="23" spans="2:28" ht="13.2" hidden="1" outlineLevel="1" x14ac:dyDescent="0.3">
      <c r="B23" s="1" t="s">
        <v>32</v>
      </c>
      <c r="C23" s="55" t="s">
        <v>22</v>
      </c>
      <c r="D23" s="53">
        <v>400</v>
      </c>
      <c r="E23" s="54">
        <v>424.9</v>
      </c>
      <c r="F23" s="54">
        <v>473.2</v>
      </c>
      <c r="G23" s="54">
        <v>460</v>
      </c>
      <c r="H23" s="54">
        <v>473.2</v>
      </c>
      <c r="I23" s="54" t="s">
        <v>376</v>
      </c>
      <c r="J23" s="54">
        <f t="shared" si="3"/>
        <v>416</v>
      </c>
      <c r="K23" s="80">
        <f t="shared" si="4"/>
        <v>416</v>
      </c>
      <c r="L23" s="53">
        <f t="shared" si="5"/>
        <v>16</v>
      </c>
      <c r="M23" s="62">
        <f t="shared" si="6"/>
        <v>0.04</v>
      </c>
      <c r="N23" s="53">
        <f t="shared" si="7"/>
        <v>-8.8999999999999773</v>
      </c>
      <c r="O23" s="62">
        <f t="shared" si="8"/>
        <v>-2.094610496587427E-2</v>
      </c>
      <c r="P23" s="53">
        <f t="shared" si="9"/>
        <v>-57.199999999999989</v>
      </c>
      <c r="Q23" s="62">
        <f t="shared" si="10"/>
        <v>-0.12087912087912085</v>
      </c>
      <c r="R23" s="53">
        <f t="shared" si="11"/>
        <v>-44</v>
      </c>
      <c r="S23" s="62">
        <f t="shared" si="12"/>
        <v>-9.5652173913043481E-2</v>
      </c>
      <c r="T23" s="53">
        <f t="shared" si="13"/>
        <v>-57.199999999999989</v>
      </c>
      <c r="U23" s="59">
        <f t="shared" si="14"/>
        <v>-0.12087912087912085</v>
      </c>
      <c r="Y23" s="1" t="s">
        <v>32</v>
      </c>
    </row>
    <row r="24" spans="2:28" ht="13.2" hidden="1" outlineLevel="1" x14ac:dyDescent="0.3">
      <c r="B24" s="1" t="s">
        <v>33</v>
      </c>
      <c r="C24" s="55" t="s">
        <v>23</v>
      </c>
      <c r="D24" s="53">
        <v>19</v>
      </c>
      <c r="E24" s="54">
        <v>19</v>
      </c>
      <c r="F24" s="54">
        <v>23.393000000000001</v>
      </c>
      <c r="G24" s="54">
        <v>23.29</v>
      </c>
      <c r="H24" s="54">
        <v>23.393000000000001</v>
      </c>
      <c r="I24" s="54" t="s">
        <v>376</v>
      </c>
      <c r="J24" s="54">
        <f t="shared" si="3"/>
        <v>19.760000000000002</v>
      </c>
      <c r="K24" s="80">
        <f t="shared" si="4"/>
        <v>19.760000000000002</v>
      </c>
      <c r="L24" s="53">
        <f t="shared" si="5"/>
        <v>0.76000000000000156</v>
      </c>
      <c r="M24" s="62">
        <f t="shared" si="6"/>
        <v>4.0000000000000084E-2</v>
      </c>
      <c r="N24" s="53">
        <f t="shared" si="7"/>
        <v>0.76000000000000156</v>
      </c>
      <c r="O24" s="62">
        <f t="shared" si="8"/>
        <v>4.0000000000000084E-2</v>
      </c>
      <c r="P24" s="53">
        <f t="shared" si="9"/>
        <v>-3.6329999999999991</v>
      </c>
      <c r="Q24" s="62">
        <f t="shared" si="10"/>
        <v>-0.15530286837942969</v>
      </c>
      <c r="R24" s="53">
        <f t="shared" si="11"/>
        <v>-3.5299999999999976</v>
      </c>
      <c r="S24" s="62">
        <f t="shared" si="12"/>
        <v>-0.15156719622155421</v>
      </c>
      <c r="T24" s="53">
        <f t="shared" si="13"/>
        <v>-3.6329999999999991</v>
      </c>
      <c r="U24" s="59">
        <f t="shared" si="14"/>
        <v>-0.15530286837942969</v>
      </c>
      <c r="Y24" s="1" t="s">
        <v>33</v>
      </c>
    </row>
    <row r="25" spans="2:28" ht="13.2" hidden="1" outlineLevel="1" x14ac:dyDescent="0.3">
      <c r="B25" s="1" t="s">
        <v>34</v>
      </c>
      <c r="C25" s="163" t="s">
        <v>365</v>
      </c>
      <c r="D25" s="164">
        <v>4.5999999999999996</v>
      </c>
      <c r="E25" s="165">
        <v>4.5999999999999996</v>
      </c>
      <c r="F25" s="165">
        <v>5.09</v>
      </c>
      <c r="G25" s="165">
        <v>5.09</v>
      </c>
      <c r="H25" s="165">
        <v>5.09</v>
      </c>
      <c r="I25" s="165" t="s">
        <v>376</v>
      </c>
      <c r="J25" s="165">
        <f t="shared" si="3"/>
        <v>4.78</v>
      </c>
      <c r="K25" s="170">
        <f t="shared" si="4"/>
        <v>4.78</v>
      </c>
      <c r="L25" s="164">
        <f>K25-D25</f>
        <v>0.1800000000000006</v>
      </c>
      <c r="M25" s="171">
        <f t="shared" si="6"/>
        <v>3.9130434782608831E-2</v>
      </c>
      <c r="N25" s="164">
        <f t="shared" si="7"/>
        <v>0.1800000000000006</v>
      </c>
      <c r="O25" s="171">
        <f t="shared" si="8"/>
        <v>3.9130434782608831E-2</v>
      </c>
      <c r="P25" s="164">
        <f t="shared" si="9"/>
        <v>-0.30999999999999961</v>
      </c>
      <c r="Q25" s="171">
        <f t="shared" si="10"/>
        <v>-6.0903732809430178E-2</v>
      </c>
      <c r="R25" s="164">
        <f t="shared" si="11"/>
        <v>-0.30999999999999961</v>
      </c>
      <c r="S25" s="171">
        <f t="shared" si="12"/>
        <v>-6.0903732809430178E-2</v>
      </c>
      <c r="T25" s="164">
        <f t="shared" si="13"/>
        <v>-0.30999999999999961</v>
      </c>
      <c r="U25" s="166">
        <f t="shared" si="14"/>
        <v>-6.0903732809430178E-2</v>
      </c>
      <c r="Y25" s="1" t="s">
        <v>34</v>
      </c>
    </row>
    <row r="26" spans="2:28" ht="16.2" hidden="1" outlineLevel="1" thickBot="1" x14ac:dyDescent="0.4">
      <c r="B26" s="1" t="s">
        <v>24</v>
      </c>
      <c r="C26" s="99" t="s">
        <v>24</v>
      </c>
      <c r="D26" s="167">
        <f>SUM(D20:D25)</f>
        <v>8838</v>
      </c>
      <c r="E26" s="168">
        <f>SUM(E20:E25)</f>
        <v>8838</v>
      </c>
      <c r="F26" s="168">
        <f>SUM(F20:F25)</f>
        <v>10492.08</v>
      </c>
      <c r="G26" s="168">
        <f>SUM(G20:G25)</f>
        <v>9631.14</v>
      </c>
      <c r="H26" s="168">
        <f>SUM(H20:H25)</f>
        <v>10338</v>
      </c>
      <c r="I26" s="168" t="s">
        <v>376</v>
      </c>
      <c r="J26" s="168">
        <f t="shared" si="3"/>
        <v>9191.52</v>
      </c>
      <c r="K26" s="172">
        <f>IFERROR(INDEX($D$20:$J$26, MATCH(Y26, $B$20:$B$26, 0), MATCH($K$30, $D$27:$J$27, 0)), 0)</f>
        <v>9191.52</v>
      </c>
      <c r="L26" s="167">
        <f t="shared" si="5"/>
        <v>353.52000000000044</v>
      </c>
      <c r="M26" s="173">
        <f t="shared" si="6"/>
        <v>4.0000000000000049E-2</v>
      </c>
      <c r="N26" s="167">
        <f t="shared" si="7"/>
        <v>353.52000000000044</v>
      </c>
      <c r="O26" s="173">
        <f t="shared" si="8"/>
        <v>4.0000000000000049E-2</v>
      </c>
      <c r="P26" s="167">
        <f t="shared" si="9"/>
        <v>-1300.5599999999995</v>
      </c>
      <c r="Q26" s="173">
        <f t="shared" si="10"/>
        <v>-0.12395635565111965</v>
      </c>
      <c r="R26" s="167">
        <f t="shared" si="11"/>
        <v>-439.61999999999898</v>
      </c>
      <c r="S26" s="173">
        <f t="shared" si="12"/>
        <v>-4.5645686803431264E-2</v>
      </c>
      <c r="T26" s="167">
        <f t="shared" si="13"/>
        <v>-1146.4799999999996</v>
      </c>
      <c r="U26" s="169">
        <f t="shared" si="14"/>
        <v>-0.11089959373186299</v>
      </c>
      <c r="Y26" s="1" t="s">
        <v>24</v>
      </c>
    </row>
    <row r="27" spans="2:28" ht="13.2" hidden="1" outlineLevel="2" x14ac:dyDescent="0.3">
      <c r="D27" s="1" t="s">
        <v>375</v>
      </c>
      <c r="E27" s="1" t="s">
        <v>372</v>
      </c>
      <c r="F27" s="1" t="s">
        <v>373</v>
      </c>
      <c r="G27" s="1" t="s">
        <v>379</v>
      </c>
      <c r="H27" s="1" t="s">
        <v>380</v>
      </c>
      <c r="I27" s="1" t="s">
        <v>374</v>
      </c>
      <c r="J27" s="1" t="s">
        <v>402</v>
      </c>
      <c r="L27" s="1"/>
    </row>
    <row r="28" spans="2:28" ht="13.2" hidden="1" outlineLevel="1" collapsed="1" x14ac:dyDescent="0.3">
      <c r="D28" s="11">
        <f t="shared" ref="D28:H28" si="15">D26-SUM(D20:D25)</f>
        <v>0</v>
      </c>
      <c r="E28" s="11">
        <f t="shared" si="15"/>
        <v>0</v>
      </c>
      <c r="F28" s="11">
        <f t="shared" si="15"/>
        <v>0</v>
      </c>
      <c r="G28" s="11">
        <f t="shared" si="15"/>
        <v>0</v>
      </c>
      <c r="H28" s="11">
        <f t="shared" si="15"/>
        <v>0</v>
      </c>
      <c r="I28" s="11"/>
      <c r="J28" s="11">
        <f>J26-SUM(J20:J25)</f>
        <v>0</v>
      </c>
      <c r="L28" s="11">
        <f>L26-SUM(L20:L25)</f>
        <v>0</v>
      </c>
      <c r="N28" s="11">
        <f>N26-SUM(N20:N25)</f>
        <v>1.1937117960769683E-12</v>
      </c>
      <c r="P28" s="11">
        <f>P26-SUM(P20:P25)</f>
        <v>0</v>
      </c>
    </row>
    <row r="29" spans="2:28" ht="13.2" hidden="1" outlineLevel="1" x14ac:dyDescent="0.3">
      <c r="L29" s="1"/>
    </row>
    <row r="30" spans="2:28" hidden="1" outlineLevel="1" x14ac:dyDescent="0.3">
      <c r="J30" s="15" t="s">
        <v>409</v>
      </c>
      <c r="K30" s="81" t="s">
        <v>402</v>
      </c>
    </row>
    <row r="31" spans="2:28" ht="13.2" hidden="1" outlineLevel="1" x14ac:dyDescent="0.3">
      <c r="L31" s="1"/>
    </row>
    <row r="32" spans="2:28" ht="13.2" collapsed="1" x14ac:dyDescent="0.3">
      <c r="L32" s="1"/>
    </row>
    <row r="33" spans="12:12" ht="13.2" x14ac:dyDescent="0.3">
      <c r="L33" s="1"/>
    </row>
    <row r="34" spans="12:12" ht="13.2" x14ac:dyDescent="0.3">
      <c r="L34" s="1"/>
    </row>
    <row r="35" spans="12:12" ht="13.2" x14ac:dyDescent="0.3">
      <c r="L35" s="1"/>
    </row>
    <row r="36" spans="12:12" ht="13.2" x14ac:dyDescent="0.3">
      <c r="L36" s="1"/>
    </row>
    <row r="37" spans="12:12" ht="13.2" x14ac:dyDescent="0.3">
      <c r="L37" s="1"/>
    </row>
    <row r="38" spans="12:12" ht="13.2" x14ac:dyDescent="0.3">
      <c r="L38" s="1"/>
    </row>
    <row r="39" spans="12:12" ht="13.2" x14ac:dyDescent="0.3">
      <c r="L39" s="1"/>
    </row>
    <row r="40" spans="12:12" ht="13.2" x14ac:dyDescent="0.3">
      <c r="L40" s="1"/>
    </row>
    <row r="41" spans="12:12" ht="13.2" x14ac:dyDescent="0.3">
      <c r="L41" s="1"/>
    </row>
    <row r="42" spans="12:12" ht="13.2" x14ac:dyDescent="0.3">
      <c r="L42" s="1"/>
    </row>
    <row r="43" spans="12:12" ht="13.2" x14ac:dyDescent="0.3">
      <c r="L43" s="1"/>
    </row>
    <row r="44" spans="12:12" ht="13.2" x14ac:dyDescent="0.3">
      <c r="L44" s="1"/>
    </row>
    <row r="45" spans="12:12" ht="13.2" x14ac:dyDescent="0.3">
      <c r="L45" s="1"/>
    </row>
    <row r="46" spans="12:12" ht="13.2" x14ac:dyDescent="0.3">
      <c r="L46" s="1"/>
    </row>
    <row r="47" spans="12:12" ht="13.2" x14ac:dyDescent="0.3">
      <c r="L47" s="1"/>
    </row>
    <row r="48" spans="12:12" ht="13.2" x14ac:dyDescent="0.3">
      <c r="L48" s="1"/>
    </row>
    <row r="49" spans="12:12" ht="13.2" x14ac:dyDescent="0.3">
      <c r="L49" s="1"/>
    </row>
    <row r="50" spans="12:12" ht="13.2" x14ac:dyDescent="0.3">
      <c r="L50" s="1"/>
    </row>
    <row r="51" spans="12:12" ht="13.2" x14ac:dyDescent="0.3">
      <c r="L51" s="1"/>
    </row>
    <row r="52" spans="12:12" ht="13.2" x14ac:dyDescent="0.3">
      <c r="L52" s="1"/>
    </row>
    <row r="53" spans="12:12" ht="13.2" x14ac:dyDescent="0.3">
      <c r="L53" s="1"/>
    </row>
    <row r="54" spans="12:12" ht="13.2" x14ac:dyDescent="0.3">
      <c r="L54" s="1"/>
    </row>
    <row r="55" spans="12:12" ht="13.2" x14ac:dyDescent="0.3">
      <c r="L55" s="1"/>
    </row>
    <row r="56" spans="12:12" ht="13.2" x14ac:dyDescent="0.3">
      <c r="L56" s="1"/>
    </row>
    <row r="57" spans="12:12" ht="13.2" x14ac:dyDescent="0.3">
      <c r="L57" s="1"/>
    </row>
    <row r="58" spans="12:12" ht="13.2" x14ac:dyDescent="0.3">
      <c r="L58" s="1"/>
    </row>
    <row r="59" spans="12:12" ht="13.2" x14ac:dyDescent="0.3">
      <c r="L59" s="1"/>
    </row>
    <row r="60" spans="12:12" ht="13.2" x14ac:dyDescent="0.3">
      <c r="L60" s="1"/>
    </row>
    <row r="61" spans="12:12" ht="13.2" x14ac:dyDescent="0.3">
      <c r="L61" s="1"/>
    </row>
    <row r="62" spans="12:12" ht="13.2" x14ac:dyDescent="0.3">
      <c r="L62" s="1"/>
    </row>
    <row r="63" spans="12:12" ht="13.2" x14ac:dyDescent="0.3">
      <c r="L63" s="1"/>
    </row>
    <row r="64" spans="12:12" ht="13.2" x14ac:dyDescent="0.3">
      <c r="L64" s="1"/>
    </row>
    <row r="65" spans="12:12" ht="13.2" x14ac:dyDescent="0.3">
      <c r="L65" s="1"/>
    </row>
    <row r="66" spans="12:12" ht="13.2" x14ac:dyDescent="0.3">
      <c r="L66" s="1"/>
    </row>
    <row r="67" spans="12:12" ht="13.2" x14ac:dyDescent="0.3">
      <c r="L67" s="1"/>
    </row>
    <row r="68" spans="12:12" ht="13.2" x14ac:dyDescent="0.3">
      <c r="L68" s="1"/>
    </row>
    <row r="69" spans="12:12" ht="13.2" x14ac:dyDescent="0.3">
      <c r="L69" s="1"/>
    </row>
    <row r="70" spans="12:12" ht="13.2" x14ac:dyDescent="0.3">
      <c r="L70" s="1"/>
    </row>
    <row r="71" spans="12:12" ht="13.2" x14ac:dyDescent="0.3">
      <c r="L71" s="1"/>
    </row>
    <row r="72" spans="12:12" ht="13.2" x14ac:dyDescent="0.3">
      <c r="L72" s="1"/>
    </row>
    <row r="73" spans="12:12" ht="13.2" x14ac:dyDescent="0.3">
      <c r="L73" s="1"/>
    </row>
    <row r="74" spans="12:12" ht="13.2" x14ac:dyDescent="0.3">
      <c r="L74" s="1"/>
    </row>
    <row r="75" spans="12:12" ht="13.2" x14ac:dyDescent="0.3">
      <c r="L75" s="1"/>
    </row>
    <row r="76" spans="12:12" ht="13.2" x14ac:dyDescent="0.3">
      <c r="L76" s="1"/>
    </row>
    <row r="77" spans="12:12" ht="13.2" x14ac:dyDescent="0.3">
      <c r="L77" s="1"/>
    </row>
    <row r="78" spans="12:12" ht="13.2" x14ac:dyDescent="0.3">
      <c r="L78" s="1"/>
    </row>
    <row r="79" spans="12:12" ht="13.2" x14ac:dyDescent="0.3">
      <c r="L79" s="1"/>
    </row>
    <row r="80" spans="12:12" ht="13.2" x14ac:dyDescent="0.3">
      <c r="L80" s="1"/>
    </row>
    <row r="81" spans="12:12" ht="13.2" x14ac:dyDescent="0.3">
      <c r="L81" s="1"/>
    </row>
    <row r="82" spans="12:12" ht="13.2" x14ac:dyDescent="0.3">
      <c r="L82" s="1"/>
    </row>
    <row r="83" spans="12:12" ht="13.2" x14ac:dyDescent="0.3">
      <c r="L83" s="1"/>
    </row>
    <row r="84" spans="12:12" ht="13.2" x14ac:dyDescent="0.3">
      <c r="L84" s="1"/>
    </row>
    <row r="85" spans="12:12" ht="13.2" x14ac:dyDescent="0.3">
      <c r="L85" s="1"/>
    </row>
    <row r="86" spans="12:12" ht="13.2" x14ac:dyDescent="0.3">
      <c r="L86" s="1"/>
    </row>
    <row r="87" spans="12:12" ht="13.2" x14ac:dyDescent="0.3">
      <c r="L87" s="1"/>
    </row>
    <row r="88" spans="12:12" ht="13.2" x14ac:dyDescent="0.3">
      <c r="L88" s="1"/>
    </row>
    <row r="89" spans="12:12" ht="13.2" x14ac:dyDescent="0.3">
      <c r="L89" s="1"/>
    </row>
    <row r="90" spans="12:12" ht="13.2" x14ac:dyDescent="0.3">
      <c r="L90" s="1"/>
    </row>
    <row r="91" spans="12:12" ht="13.2" x14ac:dyDescent="0.3">
      <c r="L91" s="1"/>
    </row>
    <row r="92" spans="12:12" ht="13.2" x14ac:dyDescent="0.3">
      <c r="L92" s="1"/>
    </row>
    <row r="93" spans="12:12" ht="13.2" x14ac:dyDescent="0.3">
      <c r="L93" s="1"/>
    </row>
    <row r="94" spans="12:12" ht="13.2" x14ac:dyDescent="0.3">
      <c r="L94" s="1"/>
    </row>
    <row r="95" spans="12:12" ht="13.2" x14ac:dyDescent="0.3">
      <c r="L95" s="1"/>
    </row>
    <row r="96" spans="12:12" ht="13.2" x14ac:dyDescent="0.3">
      <c r="L96" s="1"/>
    </row>
    <row r="97" spans="12:12" ht="13.2" x14ac:dyDescent="0.3">
      <c r="L97" s="1"/>
    </row>
    <row r="98" spans="12:12" ht="13.2" x14ac:dyDescent="0.3">
      <c r="L98" s="1"/>
    </row>
    <row r="99" spans="12:12" ht="13.2" x14ac:dyDescent="0.3">
      <c r="L99" s="1"/>
    </row>
    <row r="100" spans="12:12" ht="13.2" x14ac:dyDescent="0.3">
      <c r="L100" s="1"/>
    </row>
    <row r="101" spans="12:12" ht="13.2" x14ac:dyDescent="0.3">
      <c r="L101" s="1"/>
    </row>
    <row r="102" spans="12:12" ht="13.2" x14ac:dyDescent="0.3">
      <c r="L102" s="1"/>
    </row>
    <row r="103" spans="12:12" ht="13.2" x14ac:dyDescent="0.3">
      <c r="L103" s="1"/>
    </row>
    <row r="104" spans="12:12" ht="13.2" x14ac:dyDescent="0.3">
      <c r="L104" s="1"/>
    </row>
    <row r="105" spans="12:12" ht="13.2" x14ac:dyDescent="0.3">
      <c r="L105" s="1"/>
    </row>
    <row r="106" spans="12:12" ht="13.2" x14ac:dyDescent="0.3">
      <c r="L106" s="1"/>
    </row>
    <row r="107" spans="12:12" ht="13.2" x14ac:dyDescent="0.3">
      <c r="L107" s="1"/>
    </row>
    <row r="108" spans="12:12" ht="13.2" x14ac:dyDescent="0.3">
      <c r="L108" s="1"/>
    </row>
    <row r="109" spans="12:12" ht="13.2" x14ac:dyDescent="0.3">
      <c r="L109" s="1"/>
    </row>
    <row r="110" spans="12:12" ht="13.2" x14ac:dyDescent="0.3">
      <c r="L110" s="1"/>
    </row>
    <row r="111" spans="12:12" ht="13.2" x14ac:dyDescent="0.3">
      <c r="L111" s="1"/>
    </row>
    <row r="112" spans="12:12" ht="13.2" x14ac:dyDescent="0.3">
      <c r="L112" s="1"/>
    </row>
    <row r="113" spans="12:12" ht="13.2" x14ac:dyDescent="0.3">
      <c r="L113" s="1"/>
    </row>
    <row r="114" spans="12:12" ht="13.2" x14ac:dyDescent="0.3">
      <c r="L114" s="1"/>
    </row>
    <row r="115" spans="12:12" ht="13.2" x14ac:dyDescent="0.3">
      <c r="L115" s="1"/>
    </row>
    <row r="116" spans="12:12" ht="13.2" x14ac:dyDescent="0.3">
      <c r="L116" s="1"/>
    </row>
    <row r="117" spans="12:12" ht="13.2" x14ac:dyDescent="0.3">
      <c r="L117" s="1"/>
    </row>
    <row r="118" spans="12:12" ht="13.2" x14ac:dyDescent="0.3">
      <c r="L118" s="1"/>
    </row>
  </sheetData>
  <mergeCells count="22">
    <mergeCell ref="C1:G1"/>
    <mergeCell ref="C2:G2"/>
    <mergeCell ref="C15:U15"/>
    <mergeCell ref="C16:U16"/>
    <mergeCell ref="D3:D5"/>
    <mergeCell ref="E3:E5"/>
    <mergeCell ref="F3:G3"/>
    <mergeCell ref="F4:G4"/>
    <mergeCell ref="K17:K19"/>
    <mergeCell ref="J17:J19"/>
    <mergeCell ref="D17:D19"/>
    <mergeCell ref="E17:E19"/>
    <mergeCell ref="F17:F19"/>
    <mergeCell ref="G17:G19"/>
    <mergeCell ref="H17:H19"/>
    <mergeCell ref="I17:I19"/>
    <mergeCell ref="L18:M18"/>
    <mergeCell ref="P18:Q18"/>
    <mergeCell ref="R18:S18"/>
    <mergeCell ref="T18:U18"/>
    <mergeCell ref="L17:U17"/>
    <mergeCell ref="N18:O18"/>
  </mergeCells>
  <dataValidations count="1">
    <dataValidation type="list" allowBlank="1" showInputMessage="1" showErrorMessage="1" sqref="K30" xr:uid="{BEFAE2A2-3C7A-484B-A96F-DE4BD02C3201}">
      <formula1>$AB$15:$AB$21</formula1>
    </dataValidation>
  </dataValidation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4A108-920B-400A-9AE5-69A5EAEFBEC6}">
  <sheetPr>
    <tabColor theme="0" tint="-0.249977111117893"/>
  </sheetPr>
  <dimension ref="A1:CD253"/>
  <sheetViews>
    <sheetView topLeftCell="A109" zoomScale="80" zoomScaleNormal="80" workbookViewId="0">
      <selection activeCell="D124" sqref="D124"/>
    </sheetView>
  </sheetViews>
  <sheetFormatPr defaultColWidth="9.33203125" defaultRowHeight="14.4" x14ac:dyDescent="0.3"/>
  <cols>
    <col min="1" max="1" width="52.44140625" style="221" customWidth="1"/>
    <col min="2" max="2" width="10.33203125" style="3" bestFit="1" customWidth="1"/>
    <col min="3" max="3" width="14.6640625" style="3" customWidth="1"/>
    <col min="4" max="4" width="68" style="221" bestFit="1" customWidth="1"/>
    <col min="5" max="5" width="73.5546875" style="221" bestFit="1" customWidth="1"/>
    <col min="6" max="9" width="11.5546875" style="221" customWidth="1"/>
    <col min="10" max="10" width="13.44140625" style="221" customWidth="1"/>
    <col min="11" max="11" width="11.5546875" style="221" customWidth="1"/>
    <col min="12" max="12" width="13.6640625" style="221" customWidth="1"/>
    <col min="13" max="18" width="11.5546875" style="221" customWidth="1"/>
    <col min="19" max="19" width="13.6640625" style="221" customWidth="1"/>
    <col min="20" max="26" width="11.5546875" style="221" customWidth="1"/>
    <col min="27" max="27" width="13.6640625" style="221" customWidth="1"/>
    <col min="28" max="33" width="11.5546875" style="221" customWidth="1"/>
    <col min="34" max="34" width="13.6640625" style="221" customWidth="1"/>
    <col min="35" max="41" width="11.5546875" style="221" customWidth="1"/>
    <col min="42" max="42" width="13.6640625" style="221" customWidth="1"/>
    <col min="43" max="47" width="11.5546875" style="221" customWidth="1"/>
    <col min="48" max="48" width="13.6640625" style="221" customWidth="1"/>
    <col min="49" max="51" width="11.5546875" style="221" customWidth="1"/>
    <col min="52" max="52" width="13.6640625" style="221" customWidth="1"/>
    <col min="53" max="53" width="11.5546875" style="221" customWidth="1"/>
    <col min="54" max="54" width="13.6640625" style="221" customWidth="1"/>
    <col min="55" max="56" width="11.5546875" style="221" customWidth="1"/>
    <col min="57" max="57" width="13.6640625" style="221" customWidth="1"/>
    <col min="58" max="58" width="11.5546875" style="221" customWidth="1"/>
    <col min="59" max="59" width="13.6640625" style="221" customWidth="1"/>
    <col min="60" max="60" width="11.5546875" style="221" customWidth="1"/>
    <col min="61" max="61" width="13.6640625" style="221" customWidth="1"/>
    <col min="62" max="62" width="11" style="221" customWidth="1"/>
    <col min="63" max="67" width="11.5546875" style="221" customWidth="1"/>
    <col min="68" max="68" width="13.6640625" style="221" customWidth="1"/>
    <col min="69" max="69" width="11" style="221" customWidth="1"/>
    <col min="70" max="70" width="11.5546875" style="221" customWidth="1"/>
    <col min="71" max="71" width="13.6640625" style="221" customWidth="1"/>
    <col min="72" max="72" width="11" style="221" customWidth="1"/>
    <col min="73" max="73" width="11.5546875" style="221" customWidth="1"/>
    <col min="74" max="74" width="13.6640625" style="221" customWidth="1"/>
    <col min="75" max="75" width="11" style="221" customWidth="1"/>
    <col min="76" max="76" width="11.5546875" style="221" customWidth="1"/>
    <col min="77" max="77" width="13.6640625" style="221" customWidth="1"/>
    <col min="78" max="78" width="11" style="221" customWidth="1"/>
    <col min="79" max="79" width="11.5546875" style="221" customWidth="1"/>
    <col min="80" max="80" width="13.6640625" style="221" customWidth="1"/>
    <col min="81" max="81" width="11" style="221" customWidth="1"/>
    <col min="82" max="82" width="13.6640625" style="221" customWidth="1"/>
    <col min="83" max="83" width="0" style="221" hidden="1" customWidth="1"/>
    <col min="84" max="16384" width="9.33203125" style="221"/>
  </cols>
  <sheetData>
    <row r="1" spans="1:82" ht="7.35" customHeight="1" x14ac:dyDescent="0.3"/>
    <row r="2" spans="1:82" ht="15" customHeight="1" x14ac:dyDescent="0.3">
      <c r="F2" s="1010" t="s">
        <v>513</v>
      </c>
      <c r="G2" s="1011"/>
      <c r="H2" s="1011"/>
      <c r="I2" s="1011"/>
      <c r="J2" s="1011"/>
    </row>
    <row r="3" spans="1:82" ht="15" customHeight="1" x14ac:dyDescent="0.3"/>
    <row r="4" spans="1:82" ht="15" customHeight="1" x14ac:dyDescent="0.3">
      <c r="F4" s="227" t="str">
        <f>CONCATENATE(F6,F7)</f>
        <v>BIODBI</v>
      </c>
      <c r="G4" s="227" t="str">
        <f t="shared" ref="G4:BR4" si="0">CONCATENATE(G6,G7)</f>
        <v>BIODEB</v>
      </c>
      <c r="H4" s="227" t="str">
        <f t="shared" si="0"/>
        <v>BIOEF</v>
      </c>
      <c r="I4" s="227" t="str">
        <f t="shared" si="0"/>
        <v>BIOIOS</v>
      </c>
      <c r="J4" s="227" t="str">
        <f t="shared" si="0"/>
        <v>BIOMCB</v>
      </c>
      <c r="K4" s="227" t="str">
        <f t="shared" si="0"/>
        <v>BIOUNDIST</v>
      </c>
      <c r="L4" s="227" t="str">
        <f t="shared" si="0"/>
        <v>BIOTotal</v>
      </c>
      <c r="M4" s="227" t="str">
        <f t="shared" si="0"/>
        <v>CISECCF</v>
      </c>
      <c r="N4" s="227" t="str">
        <f t="shared" si="0"/>
        <v>CISECNS</v>
      </c>
      <c r="O4" s="227" t="str">
        <f t="shared" si="0"/>
        <v>CISEIIS</v>
      </c>
      <c r="P4" s="227" t="str">
        <f t="shared" si="0"/>
        <v>CISEITR</v>
      </c>
      <c r="Q4" s="227" t="str">
        <f t="shared" si="0"/>
        <v>CISEOAC</v>
      </c>
      <c r="R4" s="227" t="str">
        <f t="shared" si="0"/>
        <v>CISEUNDIST</v>
      </c>
      <c r="S4" s="227" t="str">
        <f t="shared" si="0"/>
        <v>CISETotal</v>
      </c>
      <c r="T4" s="227" t="str">
        <f t="shared" si="0"/>
        <v>ENGCBET</v>
      </c>
      <c r="U4" s="227" t="str">
        <f t="shared" si="0"/>
        <v>ENGCMMI</v>
      </c>
      <c r="V4" s="227" t="str">
        <f t="shared" si="0"/>
        <v>ENGECCS</v>
      </c>
      <c r="W4" s="227" t="str">
        <f t="shared" si="0"/>
        <v>ENGEEC</v>
      </c>
      <c r="X4" s="227" t="str">
        <f t="shared" si="0"/>
        <v>ENGEFMA</v>
      </c>
      <c r="Y4" s="227" t="str">
        <f t="shared" si="0"/>
        <v>ENGIIP</v>
      </c>
      <c r="Z4" s="227" t="str">
        <f t="shared" si="0"/>
        <v>ENGUNDIST</v>
      </c>
      <c r="AA4" s="227" t="str">
        <f t="shared" si="0"/>
        <v>ENGTotal</v>
      </c>
      <c r="AB4" s="227" t="str">
        <f t="shared" si="0"/>
        <v>GEOAGS</v>
      </c>
      <c r="AC4" s="227" t="str">
        <f t="shared" si="0"/>
        <v>GEOEAR</v>
      </c>
      <c r="AD4" s="227" t="str">
        <f t="shared" si="0"/>
        <v>GEOOCE</v>
      </c>
      <c r="AE4" s="227" t="str">
        <f t="shared" si="0"/>
        <v>GEO/OPPPLR</v>
      </c>
      <c r="AF4" s="227" t="str">
        <f t="shared" si="0"/>
        <v>GEORISE</v>
      </c>
      <c r="AG4" s="227" t="str">
        <f t="shared" si="0"/>
        <v>GEOUNDIST</v>
      </c>
      <c r="AH4" s="227" t="str">
        <f t="shared" si="0"/>
        <v>GEOTotal</v>
      </c>
      <c r="AI4" s="227" t="str">
        <f t="shared" si="0"/>
        <v>MPSAST</v>
      </c>
      <c r="AJ4" s="227" t="str">
        <f t="shared" si="0"/>
        <v>MPSCHE</v>
      </c>
      <c r="AK4" s="227" t="str">
        <f t="shared" si="0"/>
        <v>MPSDMR</v>
      </c>
      <c r="AL4" s="227" t="str">
        <f t="shared" si="0"/>
        <v>MPSDMS</v>
      </c>
      <c r="AM4" s="227" t="str">
        <f t="shared" si="0"/>
        <v>MPSOMA</v>
      </c>
      <c r="AN4" s="227" t="str">
        <f t="shared" si="0"/>
        <v>MPSPHY</v>
      </c>
      <c r="AO4" s="227" t="str">
        <f t="shared" si="0"/>
        <v>MPSUNDIST</v>
      </c>
      <c r="AP4" s="227" t="str">
        <f t="shared" si="0"/>
        <v>MPSTotal</v>
      </c>
      <c r="AQ4" s="227" t="str">
        <f t="shared" si="0"/>
        <v>SBEBCS</v>
      </c>
      <c r="AR4" s="227" t="str">
        <f t="shared" si="0"/>
        <v>SBENCSES</v>
      </c>
      <c r="AS4" s="227" t="str">
        <f t="shared" si="0"/>
        <v>SBEOMA</v>
      </c>
      <c r="AT4" s="227" t="str">
        <f t="shared" si="0"/>
        <v>SBESES</v>
      </c>
      <c r="AU4" s="227" t="str">
        <f t="shared" si="0"/>
        <v>SBEUNDIST</v>
      </c>
      <c r="AV4" s="227" t="str">
        <f t="shared" si="0"/>
        <v>SBETotal</v>
      </c>
      <c r="AW4" s="227" t="str">
        <f t="shared" si="0"/>
        <v>TIPITE</v>
      </c>
      <c r="AX4" s="227" t="str">
        <f t="shared" si="0"/>
        <v>TIPTI</v>
      </c>
      <c r="AY4" s="227" t="str">
        <f t="shared" si="0"/>
        <v>TIPUNDIST</v>
      </c>
      <c r="AZ4" s="227" t="str">
        <f t="shared" si="0"/>
        <v>TIPTotal</v>
      </c>
      <c r="BA4" s="227" t="str">
        <f t="shared" si="0"/>
        <v>OISEOISE</v>
      </c>
      <c r="BB4" s="227" t="str">
        <f t="shared" si="0"/>
        <v>OISETotal</v>
      </c>
      <c r="BC4" s="227" t="str">
        <f t="shared" si="0"/>
        <v>OIAEPSCoR</v>
      </c>
      <c r="BD4" s="227" t="str">
        <f t="shared" si="0"/>
        <v>OIAIA</v>
      </c>
      <c r="BE4" s="227" t="str">
        <f t="shared" si="0"/>
        <v>OIATotal</v>
      </c>
      <c r="BF4" s="227" t="str">
        <f t="shared" si="0"/>
        <v>USARCUSARC</v>
      </c>
      <c r="BG4" s="227" t="str">
        <f t="shared" si="0"/>
        <v>USARCTotal</v>
      </c>
      <c r="BH4" s="227" t="str">
        <f t="shared" si="0"/>
        <v>USALSUSALS</v>
      </c>
      <c r="BI4" s="227" t="str">
        <f t="shared" si="0"/>
        <v>USALSTotal</v>
      </c>
      <c r="BJ4" s="227" t="str">
        <f t="shared" si="0"/>
        <v>Total</v>
      </c>
      <c r="BK4" s="227" t="str">
        <f t="shared" si="0"/>
        <v>EDUDGE</v>
      </c>
      <c r="BL4" s="227" t="str">
        <f t="shared" si="0"/>
        <v>EDUDRL</v>
      </c>
      <c r="BM4" s="227" t="str">
        <f t="shared" si="0"/>
        <v>EDUDUE</v>
      </c>
      <c r="BN4" s="227" t="str">
        <f t="shared" si="0"/>
        <v>EDUEES</v>
      </c>
      <c r="BO4" s="227" t="str">
        <f t="shared" si="0"/>
        <v>EDUUNDIST</v>
      </c>
      <c r="BP4" s="227" t="str">
        <f t="shared" si="0"/>
        <v>EDUTotal</v>
      </c>
      <c r="BQ4" s="227" t="str">
        <f t="shared" si="0"/>
        <v>Total</v>
      </c>
      <c r="BR4" s="227" t="str">
        <f t="shared" si="0"/>
        <v>MREFCMREFC</v>
      </c>
      <c r="BS4" s="227" t="str">
        <f t="shared" ref="BS4:CD4" si="1">CONCATENATE(BS6,BS7)</f>
        <v>MREFCTotal</v>
      </c>
      <c r="BT4" s="227" t="str">
        <f t="shared" si="1"/>
        <v>Total</v>
      </c>
      <c r="BU4" s="227" t="str">
        <f t="shared" si="1"/>
        <v>AOAMGAC</v>
      </c>
      <c r="BV4" s="227" t="str">
        <f t="shared" si="1"/>
        <v>AOAMTotal</v>
      </c>
      <c r="BW4" s="227" t="str">
        <f t="shared" si="1"/>
        <v>Total</v>
      </c>
      <c r="BX4" s="227" t="str">
        <f t="shared" si="1"/>
        <v>OIGGAC</v>
      </c>
      <c r="BY4" s="227" t="str">
        <f t="shared" si="1"/>
        <v>OIGTotal</v>
      </c>
      <c r="BZ4" s="227" t="str">
        <f t="shared" si="1"/>
        <v>Total</v>
      </c>
      <c r="CA4" s="227" t="str">
        <f t="shared" si="1"/>
        <v>NSBNSB</v>
      </c>
      <c r="CB4" s="227" t="str">
        <f t="shared" si="1"/>
        <v>NSBTotal</v>
      </c>
      <c r="CC4" s="227" t="str">
        <f t="shared" si="1"/>
        <v>Total</v>
      </c>
      <c r="CD4" s="227" t="str">
        <f t="shared" si="1"/>
        <v>TotalTotal</v>
      </c>
    </row>
    <row r="5" spans="1:82" ht="15" customHeight="1" x14ac:dyDescent="0.3">
      <c r="A5" s="222" t="s">
        <v>28</v>
      </c>
      <c r="B5" s="5" t="s">
        <v>28</v>
      </c>
      <c r="C5" s="5" t="s">
        <v>28</v>
      </c>
      <c r="D5" s="222" t="s">
        <v>28</v>
      </c>
      <c r="E5" s="222" t="s">
        <v>28</v>
      </c>
      <c r="F5" s="1006" t="s">
        <v>29</v>
      </c>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c r="AF5" s="1008"/>
      <c r="AG5" s="1008"/>
      <c r="AH5" s="1008"/>
      <c r="AI5" s="1008"/>
      <c r="AJ5" s="1008"/>
      <c r="AK5" s="1008"/>
      <c r="AL5" s="1008"/>
      <c r="AM5" s="1008"/>
      <c r="AN5" s="1008"/>
      <c r="AO5" s="1008"/>
      <c r="AP5" s="1008"/>
      <c r="AQ5" s="1008"/>
      <c r="AR5" s="1008"/>
      <c r="AS5" s="1008"/>
      <c r="AT5" s="1008"/>
      <c r="AU5" s="1008"/>
      <c r="AV5" s="1008"/>
      <c r="AW5" s="1008"/>
      <c r="AX5" s="1008"/>
      <c r="AY5" s="1008"/>
      <c r="AZ5" s="1008"/>
      <c r="BA5" s="1008"/>
      <c r="BB5" s="1008"/>
      <c r="BC5" s="1008"/>
      <c r="BD5" s="1008"/>
      <c r="BE5" s="1008"/>
      <c r="BF5" s="1008"/>
      <c r="BG5" s="1008"/>
      <c r="BH5" s="1008"/>
      <c r="BI5" s="1008"/>
      <c r="BJ5" s="1009"/>
      <c r="BK5" s="1006" t="s">
        <v>30</v>
      </c>
      <c r="BL5" s="1008"/>
      <c r="BM5" s="1008"/>
      <c r="BN5" s="1008"/>
      <c r="BO5" s="1008"/>
      <c r="BP5" s="1008"/>
      <c r="BQ5" s="1009"/>
      <c r="BR5" s="1006" t="s">
        <v>31</v>
      </c>
      <c r="BS5" s="1008"/>
      <c r="BT5" s="1009"/>
      <c r="BU5" s="1006" t="s">
        <v>32</v>
      </c>
      <c r="BV5" s="1008"/>
      <c r="BW5" s="1009"/>
      <c r="BX5" s="1006" t="s">
        <v>33</v>
      </c>
      <c r="BY5" s="1008"/>
      <c r="BZ5" s="1009"/>
      <c r="CA5" s="1006" t="s">
        <v>34</v>
      </c>
      <c r="CB5" s="1008"/>
      <c r="CC5" s="1009"/>
      <c r="CD5" s="222" t="s">
        <v>24</v>
      </c>
    </row>
    <row r="6" spans="1:82" ht="15" customHeight="1" x14ac:dyDescent="0.3">
      <c r="A6" s="222" t="s">
        <v>28</v>
      </c>
      <c r="B6" s="5" t="s">
        <v>28</v>
      </c>
      <c r="C6" s="5" t="s">
        <v>28</v>
      </c>
      <c r="D6" s="222" t="s">
        <v>28</v>
      </c>
      <c r="E6" s="222" t="s">
        <v>28</v>
      </c>
      <c r="F6" s="222" t="s">
        <v>0</v>
      </c>
      <c r="G6" s="222" t="s">
        <v>0</v>
      </c>
      <c r="H6" s="222" t="s">
        <v>0</v>
      </c>
      <c r="I6" s="222" t="s">
        <v>0</v>
      </c>
      <c r="J6" s="222" t="s">
        <v>0</v>
      </c>
      <c r="K6" s="222" t="s">
        <v>0</v>
      </c>
      <c r="L6" s="222" t="s">
        <v>0</v>
      </c>
      <c r="M6" s="222" t="s">
        <v>1</v>
      </c>
      <c r="N6" s="222" t="s">
        <v>1</v>
      </c>
      <c r="O6" s="222" t="s">
        <v>1</v>
      </c>
      <c r="P6" s="222" t="s">
        <v>1</v>
      </c>
      <c r="Q6" s="222" t="s">
        <v>1</v>
      </c>
      <c r="R6" s="222" t="s">
        <v>1</v>
      </c>
      <c r="S6" s="222" t="s">
        <v>1</v>
      </c>
      <c r="T6" s="222" t="s">
        <v>2</v>
      </c>
      <c r="U6" s="222" t="s">
        <v>2</v>
      </c>
      <c r="V6" s="222" t="s">
        <v>2</v>
      </c>
      <c r="W6" s="222" t="s">
        <v>2</v>
      </c>
      <c r="X6" s="222" t="s">
        <v>2</v>
      </c>
      <c r="Y6" s="222" t="s">
        <v>2</v>
      </c>
      <c r="Z6" s="222" t="s">
        <v>2</v>
      </c>
      <c r="AA6" s="222" t="s">
        <v>2</v>
      </c>
      <c r="AB6" s="222" t="s">
        <v>3</v>
      </c>
      <c r="AC6" s="222" t="s">
        <v>3</v>
      </c>
      <c r="AD6" s="222" t="s">
        <v>3</v>
      </c>
      <c r="AE6" s="5" t="s">
        <v>35</v>
      </c>
      <c r="AF6" s="222" t="s">
        <v>3</v>
      </c>
      <c r="AG6" s="222" t="s">
        <v>3</v>
      </c>
      <c r="AH6" s="222" t="s">
        <v>3</v>
      </c>
      <c r="AI6" s="222" t="s">
        <v>7</v>
      </c>
      <c r="AJ6" s="222" t="s">
        <v>7</v>
      </c>
      <c r="AK6" s="222" t="s">
        <v>7</v>
      </c>
      <c r="AL6" s="222" t="s">
        <v>7</v>
      </c>
      <c r="AM6" s="222" t="s">
        <v>7</v>
      </c>
      <c r="AN6" s="222" t="s">
        <v>7</v>
      </c>
      <c r="AO6" s="222" t="s">
        <v>7</v>
      </c>
      <c r="AP6" s="222" t="s">
        <v>7</v>
      </c>
      <c r="AQ6" s="222" t="s">
        <v>8</v>
      </c>
      <c r="AR6" s="222" t="s">
        <v>8</v>
      </c>
      <c r="AS6" s="222" t="s">
        <v>8</v>
      </c>
      <c r="AT6" s="222" t="s">
        <v>8</v>
      </c>
      <c r="AU6" s="222" t="s">
        <v>8</v>
      </c>
      <c r="AV6" s="222" t="s">
        <v>8</v>
      </c>
      <c r="AW6" s="222" t="s">
        <v>9</v>
      </c>
      <c r="AX6" s="222" t="s">
        <v>9</v>
      </c>
      <c r="AY6" s="222" t="s">
        <v>9</v>
      </c>
      <c r="AZ6" s="222" t="s">
        <v>9</v>
      </c>
      <c r="BA6" s="222" t="s">
        <v>12</v>
      </c>
      <c r="BB6" s="222" t="s">
        <v>12</v>
      </c>
      <c r="BC6" s="222" t="s">
        <v>36</v>
      </c>
      <c r="BD6" s="222" t="s">
        <v>36</v>
      </c>
      <c r="BE6" s="222" t="s">
        <v>36</v>
      </c>
      <c r="BF6" s="222" t="s">
        <v>37</v>
      </c>
      <c r="BG6" s="222" t="s">
        <v>37</v>
      </c>
      <c r="BH6" s="222" t="s">
        <v>38</v>
      </c>
      <c r="BI6" s="222" t="s">
        <v>38</v>
      </c>
      <c r="BJ6" s="1006" t="s">
        <v>24</v>
      </c>
      <c r="BK6" s="222" t="s">
        <v>30</v>
      </c>
      <c r="BL6" s="222" t="s">
        <v>30</v>
      </c>
      <c r="BM6" s="222" t="s">
        <v>30</v>
      </c>
      <c r="BN6" s="222" t="s">
        <v>30</v>
      </c>
      <c r="BO6" s="222" t="s">
        <v>30</v>
      </c>
      <c r="BP6" s="222" t="s">
        <v>30</v>
      </c>
      <c r="BQ6" s="1006" t="s">
        <v>24</v>
      </c>
      <c r="BR6" s="222" t="s">
        <v>31</v>
      </c>
      <c r="BS6" s="222" t="s">
        <v>31</v>
      </c>
      <c r="BT6" s="1006" t="s">
        <v>24</v>
      </c>
      <c r="BU6" s="222" t="s">
        <v>32</v>
      </c>
      <c r="BV6" s="222" t="s">
        <v>32</v>
      </c>
      <c r="BW6" s="1006" t="s">
        <v>24</v>
      </c>
      <c r="BX6" s="222" t="s">
        <v>33</v>
      </c>
      <c r="BY6" s="222" t="s">
        <v>33</v>
      </c>
      <c r="BZ6" s="1006" t="s">
        <v>24</v>
      </c>
      <c r="CA6" s="222" t="s">
        <v>34</v>
      </c>
      <c r="CB6" s="222" t="s">
        <v>34</v>
      </c>
      <c r="CC6" s="1006" t="s">
        <v>24</v>
      </c>
      <c r="CD6" s="222" t="s">
        <v>24</v>
      </c>
    </row>
    <row r="7" spans="1:82" ht="15.6" x14ac:dyDescent="0.3">
      <c r="A7" s="222" t="s">
        <v>28</v>
      </c>
      <c r="B7" s="5" t="s">
        <v>28</v>
      </c>
      <c r="C7" s="5" t="s">
        <v>28</v>
      </c>
      <c r="D7" s="222" t="s">
        <v>28</v>
      </c>
      <c r="E7" s="222" t="s">
        <v>28</v>
      </c>
      <c r="F7" s="222" t="s">
        <v>39</v>
      </c>
      <c r="G7" s="222" t="s">
        <v>40</v>
      </c>
      <c r="H7" s="222" t="s">
        <v>41</v>
      </c>
      <c r="I7" s="222" t="s">
        <v>42</v>
      </c>
      <c r="J7" s="222" t="s">
        <v>43</v>
      </c>
      <c r="K7" s="222" t="s">
        <v>44</v>
      </c>
      <c r="L7" s="222" t="s">
        <v>24</v>
      </c>
      <c r="M7" s="222" t="s">
        <v>45</v>
      </c>
      <c r="N7" s="222" t="s">
        <v>46</v>
      </c>
      <c r="O7" s="222" t="s">
        <v>47</v>
      </c>
      <c r="P7" s="222" t="s">
        <v>48</v>
      </c>
      <c r="Q7" s="222" t="s">
        <v>49</v>
      </c>
      <c r="R7" s="222" t="s">
        <v>44</v>
      </c>
      <c r="S7" s="222" t="s">
        <v>24</v>
      </c>
      <c r="T7" s="222" t="s">
        <v>50</v>
      </c>
      <c r="U7" s="222" t="s">
        <v>51</v>
      </c>
      <c r="V7" s="222" t="s">
        <v>52</v>
      </c>
      <c r="W7" s="222" t="s">
        <v>53</v>
      </c>
      <c r="X7" s="222" t="s">
        <v>54</v>
      </c>
      <c r="Y7" s="222" t="s">
        <v>55</v>
      </c>
      <c r="Z7" s="222" t="s">
        <v>44</v>
      </c>
      <c r="AA7" s="222" t="s">
        <v>24</v>
      </c>
      <c r="AB7" s="222" t="s">
        <v>56</v>
      </c>
      <c r="AC7" s="222" t="s">
        <v>57</v>
      </c>
      <c r="AD7" s="222" t="s">
        <v>58</v>
      </c>
      <c r="AE7" s="5" t="s">
        <v>59</v>
      </c>
      <c r="AF7" s="222" t="s">
        <v>60</v>
      </c>
      <c r="AG7" s="222" t="s">
        <v>44</v>
      </c>
      <c r="AH7" s="222" t="s">
        <v>24</v>
      </c>
      <c r="AI7" s="222" t="s">
        <v>61</v>
      </c>
      <c r="AJ7" s="222" t="s">
        <v>62</v>
      </c>
      <c r="AK7" s="222" t="s">
        <v>63</v>
      </c>
      <c r="AL7" s="222" t="s">
        <v>64</v>
      </c>
      <c r="AM7" s="222" t="s">
        <v>65</v>
      </c>
      <c r="AN7" s="222" t="s">
        <v>66</v>
      </c>
      <c r="AO7" s="222" t="s">
        <v>44</v>
      </c>
      <c r="AP7" s="222" t="s">
        <v>24</v>
      </c>
      <c r="AQ7" s="222" t="s">
        <v>67</v>
      </c>
      <c r="AR7" s="222" t="s">
        <v>68</v>
      </c>
      <c r="AS7" s="222" t="s">
        <v>65</v>
      </c>
      <c r="AT7" s="222" t="s">
        <v>69</v>
      </c>
      <c r="AU7" s="222" t="s">
        <v>44</v>
      </c>
      <c r="AV7" s="222" t="s">
        <v>24</v>
      </c>
      <c r="AW7" s="222" t="s">
        <v>70</v>
      </c>
      <c r="AX7" s="222" t="s">
        <v>73</v>
      </c>
      <c r="AY7" s="222" t="s">
        <v>44</v>
      </c>
      <c r="AZ7" s="222" t="s">
        <v>24</v>
      </c>
      <c r="BA7" s="222" t="s">
        <v>12</v>
      </c>
      <c r="BB7" s="222" t="s">
        <v>24</v>
      </c>
      <c r="BC7" s="222" t="s">
        <v>14</v>
      </c>
      <c r="BD7" s="222" t="s">
        <v>13</v>
      </c>
      <c r="BE7" s="222" t="s">
        <v>24</v>
      </c>
      <c r="BF7" s="222" t="s">
        <v>37</v>
      </c>
      <c r="BG7" s="222" t="s">
        <v>24</v>
      </c>
      <c r="BH7" s="222" t="s">
        <v>38</v>
      </c>
      <c r="BI7" s="222" t="s">
        <v>24</v>
      </c>
      <c r="BJ7" s="1007"/>
      <c r="BK7" s="222" t="s">
        <v>74</v>
      </c>
      <c r="BL7" s="222" t="s">
        <v>75</v>
      </c>
      <c r="BM7" s="222" t="s">
        <v>76</v>
      </c>
      <c r="BN7" s="222" t="s">
        <v>77</v>
      </c>
      <c r="BO7" s="222" t="s">
        <v>44</v>
      </c>
      <c r="BP7" s="222" t="s">
        <v>24</v>
      </c>
      <c r="BQ7" s="1007"/>
      <c r="BR7" s="222" t="s">
        <v>31</v>
      </c>
      <c r="BS7" s="222" t="s">
        <v>24</v>
      </c>
      <c r="BT7" s="1007"/>
      <c r="BU7" s="222" t="s">
        <v>78</v>
      </c>
      <c r="BV7" s="222" t="s">
        <v>24</v>
      </c>
      <c r="BW7" s="1007"/>
      <c r="BX7" s="222" t="s">
        <v>78</v>
      </c>
      <c r="BY7" s="222" t="s">
        <v>24</v>
      </c>
      <c r="BZ7" s="1007"/>
      <c r="CA7" s="222" t="s">
        <v>34</v>
      </c>
      <c r="CB7" s="222" t="s">
        <v>24</v>
      </c>
      <c r="CC7" s="1007"/>
      <c r="CD7" s="222" t="s">
        <v>24</v>
      </c>
    </row>
    <row r="8" spans="1:82" x14ac:dyDescent="0.3">
      <c r="B8" s="6" t="s">
        <v>28</v>
      </c>
      <c r="C8" s="6" t="s">
        <v>28</v>
      </c>
      <c r="D8" s="224" t="s">
        <v>28</v>
      </c>
      <c r="E8" s="224" t="s">
        <v>28</v>
      </c>
      <c r="F8" s="224" t="s">
        <v>28</v>
      </c>
      <c r="G8" s="224" t="s">
        <v>28</v>
      </c>
      <c r="H8" s="224" t="s">
        <v>28</v>
      </c>
      <c r="I8" s="224" t="s">
        <v>28</v>
      </c>
      <c r="J8" s="224" t="s">
        <v>28</v>
      </c>
      <c r="K8" s="224" t="s">
        <v>28</v>
      </c>
      <c r="L8" s="224" t="s">
        <v>28</v>
      </c>
      <c r="M8" s="224" t="s">
        <v>28</v>
      </c>
      <c r="N8" s="224" t="s">
        <v>28</v>
      </c>
      <c r="O8" s="224" t="s">
        <v>28</v>
      </c>
      <c r="P8" s="224" t="s">
        <v>28</v>
      </c>
      <c r="Q8" s="224" t="s">
        <v>28</v>
      </c>
      <c r="R8" s="224" t="s">
        <v>28</v>
      </c>
      <c r="S8" s="224" t="s">
        <v>28</v>
      </c>
      <c r="T8" s="224" t="s">
        <v>28</v>
      </c>
      <c r="U8" s="224" t="s">
        <v>28</v>
      </c>
      <c r="V8" s="224" t="s">
        <v>28</v>
      </c>
      <c r="W8" s="224" t="s">
        <v>28</v>
      </c>
      <c r="X8" s="224" t="s">
        <v>28</v>
      </c>
      <c r="Y8" s="224" t="s">
        <v>28</v>
      </c>
      <c r="Z8" s="224" t="s">
        <v>28</v>
      </c>
      <c r="AA8" s="224" t="s">
        <v>28</v>
      </c>
      <c r="AB8" s="224" t="s">
        <v>28</v>
      </c>
      <c r="AC8" s="224" t="s">
        <v>28</v>
      </c>
      <c r="AD8" s="224" t="s">
        <v>28</v>
      </c>
      <c r="AE8" s="224" t="s">
        <v>28</v>
      </c>
      <c r="AF8" s="224" t="s">
        <v>28</v>
      </c>
      <c r="AG8" s="224" t="s">
        <v>28</v>
      </c>
      <c r="AH8" s="224" t="s">
        <v>28</v>
      </c>
      <c r="AI8" s="224" t="s">
        <v>28</v>
      </c>
      <c r="AJ8" s="224" t="s">
        <v>28</v>
      </c>
      <c r="AK8" s="224" t="s">
        <v>28</v>
      </c>
      <c r="AL8" s="224" t="s">
        <v>28</v>
      </c>
      <c r="AM8" s="224" t="s">
        <v>28</v>
      </c>
      <c r="AN8" s="224" t="s">
        <v>28</v>
      </c>
      <c r="AO8" s="224" t="s">
        <v>28</v>
      </c>
      <c r="AP8" s="224" t="s">
        <v>28</v>
      </c>
      <c r="AQ8" s="224" t="s">
        <v>28</v>
      </c>
      <c r="AR8" s="224" t="s">
        <v>28</v>
      </c>
      <c r="AS8" s="224" t="s">
        <v>28</v>
      </c>
      <c r="AT8" s="224" t="s">
        <v>28</v>
      </c>
      <c r="AU8" s="224" t="s">
        <v>28</v>
      </c>
      <c r="AV8" s="224" t="s">
        <v>28</v>
      </c>
      <c r="AW8" s="224" t="s">
        <v>28</v>
      </c>
      <c r="AX8" s="224" t="s">
        <v>28</v>
      </c>
      <c r="AY8" s="224" t="s">
        <v>28</v>
      </c>
      <c r="AZ8" s="224" t="s">
        <v>28</v>
      </c>
      <c r="BA8" s="224" t="s">
        <v>28</v>
      </c>
      <c r="BB8" s="224" t="s">
        <v>28</v>
      </c>
      <c r="BC8" s="224" t="s">
        <v>28</v>
      </c>
      <c r="BD8" s="224" t="s">
        <v>28</v>
      </c>
      <c r="BE8" s="224" t="s">
        <v>28</v>
      </c>
      <c r="BF8" s="224" t="s">
        <v>28</v>
      </c>
      <c r="BG8" s="224" t="s">
        <v>28</v>
      </c>
      <c r="BH8" s="224" t="s">
        <v>28</v>
      </c>
      <c r="BI8" s="224" t="s">
        <v>28</v>
      </c>
      <c r="BJ8" s="224" t="s">
        <v>28</v>
      </c>
      <c r="BK8" s="224" t="s">
        <v>28</v>
      </c>
      <c r="BL8" s="224" t="s">
        <v>28</v>
      </c>
      <c r="BM8" s="224" t="s">
        <v>28</v>
      </c>
      <c r="BN8" s="224" t="s">
        <v>28</v>
      </c>
      <c r="BO8" s="224" t="s">
        <v>28</v>
      </c>
      <c r="BP8" s="224" t="s">
        <v>28</v>
      </c>
      <c r="BQ8" s="224" t="s">
        <v>28</v>
      </c>
      <c r="BR8" s="224" t="s">
        <v>28</v>
      </c>
      <c r="BS8" s="224" t="s">
        <v>28</v>
      </c>
      <c r="BT8" s="224" t="s">
        <v>28</v>
      </c>
      <c r="BU8" s="224" t="s">
        <v>28</v>
      </c>
      <c r="BV8" s="224" t="s">
        <v>28</v>
      </c>
      <c r="BW8" s="224" t="s">
        <v>28</v>
      </c>
      <c r="BX8" s="224" t="s">
        <v>28</v>
      </c>
      <c r="BY8" s="224" t="s">
        <v>28</v>
      </c>
      <c r="BZ8" s="224" t="s">
        <v>28</v>
      </c>
      <c r="CA8" s="224" t="s">
        <v>28</v>
      </c>
      <c r="CB8" s="224" t="s">
        <v>28</v>
      </c>
      <c r="CC8" s="224" t="s">
        <v>28</v>
      </c>
      <c r="CD8" s="223" t="s">
        <v>28</v>
      </c>
    </row>
    <row r="9" spans="1:82" x14ac:dyDescent="0.3">
      <c r="A9" s="221" t="str">
        <f>CONCATENATE(B9,C9,D9,E9)</f>
        <v>ADDTotalTotalTotal</v>
      </c>
      <c r="B9" s="6" t="s">
        <v>81</v>
      </c>
      <c r="C9" s="6" t="s">
        <v>24</v>
      </c>
      <c r="D9" s="6" t="s">
        <v>24</v>
      </c>
      <c r="E9" s="6" t="s">
        <v>24</v>
      </c>
      <c r="F9" s="225">
        <v>197.202314</v>
      </c>
      <c r="G9" s="225">
        <v>180.097567</v>
      </c>
      <c r="H9" s="225">
        <v>89.172284000000005</v>
      </c>
      <c r="I9" s="225">
        <v>208.40125</v>
      </c>
      <c r="J9" s="225">
        <v>156.74148</v>
      </c>
      <c r="K9" s="224"/>
      <c r="L9" s="225">
        <v>831.61489500000005</v>
      </c>
      <c r="M9" s="225">
        <v>201.06061099999999</v>
      </c>
      <c r="N9" s="225">
        <v>243.097759</v>
      </c>
      <c r="O9" s="225">
        <v>217.85046299999999</v>
      </c>
      <c r="P9" s="225">
        <v>122.195988</v>
      </c>
      <c r="Q9" s="225">
        <v>230.51932600000001</v>
      </c>
      <c r="R9" s="224"/>
      <c r="S9" s="225">
        <v>1014.724147</v>
      </c>
      <c r="T9" s="225">
        <v>203.418114</v>
      </c>
      <c r="U9" s="225">
        <v>239.27831</v>
      </c>
      <c r="V9" s="225">
        <v>123.096225</v>
      </c>
      <c r="W9" s="225">
        <v>132.52667</v>
      </c>
      <c r="X9" s="225">
        <v>76.187459000000004</v>
      </c>
      <c r="Y9" s="225">
        <v>3.0644000000000001E-2</v>
      </c>
      <c r="Z9" s="225">
        <v>0</v>
      </c>
      <c r="AA9" s="225">
        <v>774.53742199999999</v>
      </c>
      <c r="AB9" s="225">
        <v>288.16560099999998</v>
      </c>
      <c r="AC9" s="225">
        <v>202.40857099999999</v>
      </c>
      <c r="AD9" s="225">
        <v>418.814143</v>
      </c>
      <c r="AE9" s="225">
        <v>459.676061</v>
      </c>
      <c r="AF9" s="225">
        <v>126.33843299999999</v>
      </c>
      <c r="AG9" s="225">
        <v>0</v>
      </c>
      <c r="AH9" s="225">
        <v>1495.4028089999999</v>
      </c>
      <c r="AI9" s="225">
        <v>283.610499</v>
      </c>
      <c r="AJ9" s="225">
        <v>265.18903799999998</v>
      </c>
      <c r="AK9" s="225">
        <v>338.748873</v>
      </c>
      <c r="AL9" s="225">
        <v>248.316867</v>
      </c>
      <c r="AM9" s="225">
        <v>169.50466599999999</v>
      </c>
      <c r="AN9" s="225">
        <v>309.88695799999999</v>
      </c>
      <c r="AO9" s="225">
        <v>0</v>
      </c>
      <c r="AP9" s="225">
        <v>1615.256901</v>
      </c>
      <c r="AQ9" s="225">
        <v>102.69079000000001</v>
      </c>
      <c r="AR9" s="225">
        <v>56.504930999999999</v>
      </c>
      <c r="AS9" s="225">
        <v>22.554061000000001</v>
      </c>
      <c r="AT9" s="225">
        <v>104.110663</v>
      </c>
      <c r="AU9" s="225">
        <v>0</v>
      </c>
      <c r="AV9" s="225">
        <v>285.86044500000003</v>
      </c>
      <c r="AW9" s="225">
        <v>78.224975999999998</v>
      </c>
      <c r="AX9" s="225">
        <v>334.85654299999999</v>
      </c>
      <c r="AY9" s="224"/>
      <c r="AZ9" s="225">
        <v>413.08151900000001</v>
      </c>
      <c r="BA9" s="225">
        <v>54.229734999999998</v>
      </c>
      <c r="BB9" s="225">
        <v>54.229734999999998</v>
      </c>
      <c r="BC9" s="225">
        <v>215.05887000000001</v>
      </c>
      <c r="BD9" s="225">
        <v>178.23728700000001</v>
      </c>
      <c r="BE9" s="225">
        <v>393.29615699999999</v>
      </c>
      <c r="BF9" s="225">
        <v>1.66</v>
      </c>
      <c r="BG9" s="225">
        <v>1.66</v>
      </c>
      <c r="BH9" s="225">
        <v>85</v>
      </c>
      <c r="BI9" s="225">
        <v>85</v>
      </c>
      <c r="BJ9" s="225">
        <v>6964.6640299999999</v>
      </c>
      <c r="BK9" s="225">
        <v>432.11048199999999</v>
      </c>
      <c r="BL9" s="225">
        <v>211.97978699999999</v>
      </c>
      <c r="BM9" s="225">
        <v>275.59688899999998</v>
      </c>
      <c r="BN9" s="225">
        <v>227.03363200000001</v>
      </c>
      <c r="BO9" s="225">
        <v>0</v>
      </c>
      <c r="BP9" s="225">
        <v>1146.7207900000001</v>
      </c>
      <c r="BQ9" s="225">
        <v>1146.7207900000001</v>
      </c>
      <c r="BR9" s="225">
        <v>120.599648</v>
      </c>
      <c r="BS9" s="225">
        <v>120.599648</v>
      </c>
      <c r="BT9" s="225">
        <v>120.599648</v>
      </c>
      <c r="BU9" s="225">
        <v>420.21349600000002</v>
      </c>
      <c r="BV9" s="225">
        <v>420.21349600000002</v>
      </c>
      <c r="BW9" s="225">
        <v>420.21349600000002</v>
      </c>
      <c r="BX9" s="225">
        <v>18.888310000000001</v>
      </c>
      <c r="BY9" s="225">
        <v>18.888310000000001</v>
      </c>
      <c r="BZ9" s="225">
        <v>18.888310000000001</v>
      </c>
      <c r="CA9" s="225">
        <v>4.5193450000000004</v>
      </c>
      <c r="CB9" s="225">
        <v>4.5193450000000004</v>
      </c>
      <c r="CC9" s="225">
        <v>4.5193450000000004</v>
      </c>
      <c r="CD9" s="226">
        <v>8675.6056189999999</v>
      </c>
    </row>
    <row r="10" spans="1:82" x14ac:dyDescent="0.3">
      <c r="A10" s="221" t="str">
        <f t="shared" ref="A10:A73" si="2">CONCATENATE(B10,C10,D10,E10)</f>
        <v>ADDDiscoveryTotalTotal</v>
      </c>
      <c r="B10" s="6" t="s">
        <v>81</v>
      </c>
      <c r="C10" s="6" t="s">
        <v>82</v>
      </c>
      <c r="D10" s="6" t="s">
        <v>24</v>
      </c>
      <c r="E10" s="6" t="s">
        <v>24</v>
      </c>
      <c r="F10" s="225">
        <v>45.234124000000001</v>
      </c>
      <c r="G10" s="225">
        <v>163.49396300000001</v>
      </c>
      <c r="H10" s="225">
        <v>83.355416000000005</v>
      </c>
      <c r="I10" s="225">
        <v>173.94256100000001</v>
      </c>
      <c r="J10" s="225">
        <v>142.48685699999999</v>
      </c>
      <c r="K10" s="224"/>
      <c r="L10" s="225">
        <v>608.51292100000001</v>
      </c>
      <c r="M10" s="225">
        <v>184.860613</v>
      </c>
      <c r="N10" s="225">
        <v>197.18334100000001</v>
      </c>
      <c r="O10" s="225">
        <v>197.28660099999999</v>
      </c>
      <c r="P10" s="225">
        <v>106.260865</v>
      </c>
      <c r="Q10" s="225">
        <v>65.166381999999999</v>
      </c>
      <c r="R10" s="224"/>
      <c r="S10" s="225">
        <v>750.75780199999997</v>
      </c>
      <c r="T10" s="225">
        <v>194.244382</v>
      </c>
      <c r="U10" s="225">
        <v>211.402964</v>
      </c>
      <c r="V10" s="225">
        <v>113.027806</v>
      </c>
      <c r="W10" s="225">
        <v>113.03372299999999</v>
      </c>
      <c r="X10" s="225">
        <v>74.372910000000005</v>
      </c>
      <c r="Y10" s="225">
        <v>2.6445E-2</v>
      </c>
      <c r="Z10" s="225">
        <v>0</v>
      </c>
      <c r="AA10" s="225">
        <v>706.10823000000005</v>
      </c>
      <c r="AB10" s="225">
        <v>129.70888199999999</v>
      </c>
      <c r="AC10" s="225">
        <v>130.406194</v>
      </c>
      <c r="AD10" s="225">
        <v>169.762247</v>
      </c>
      <c r="AE10" s="225">
        <v>102.44069</v>
      </c>
      <c r="AF10" s="225">
        <v>116.89178</v>
      </c>
      <c r="AG10" s="225">
        <v>0</v>
      </c>
      <c r="AH10" s="225">
        <v>649.20979299999999</v>
      </c>
      <c r="AI10" s="225">
        <v>57.735272999999999</v>
      </c>
      <c r="AJ10" s="225">
        <v>246.028099</v>
      </c>
      <c r="AK10" s="225">
        <v>239.84948800000001</v>
      </c>
      <c r="AL10" s="225">
        <v>231.82247100000001</v>
      </c>
      <c r="AM10" s="225">
        <v>149.786978</v>
      </c>
      <c r="AN10" s="225">
        <v>207.289221</v>
      </c>
      <c r="AO10" s="225">
        <v>0</v>
      </c>
      <c r="AP10" s="225">
        <v>1132.51153</v>
      </c>
      <c r="AQ10" s="225">
        <v>94.147126</v>
      </c>
      <c r="AR10" s="225">
        <v>0.37</v>
      </c>
      <c r="AS10" s="225">
        <v>15.943</v>
      </c>
      <c r="AT10" s="225">
        <v>77.724532999999994</v>
      </c>
      <c r="AU10" s="225">
        <v>0</v>
      </c>
      <c r="AV10" s="225">
        <v>188.18465900000001</v>
      </c>
      <c r="AW10" s="225">
        <v>74.551940999999999</v>
      </c>
      <c r="AX10" s="225">
        <v>329.74801000000002</v>
      </c>
      <c r="AY10" s="224"/>
      <c r="AZ10" s="225">
        <v>404.29995100000002</v>
      </c>
      <c r="BA10" s="225">
        <v>44.764626999999997</v>
      </c>
      <c r="BB10" s="225">
        <v>44.764626999999997</v>
      </c>
      <c r="BC10" s="225">
        <v>211.39295999999999</v>
      </c>
      <c r="BD10" s="225">
        <v>35.031548000000001</v>
      </c>
      <c r="BE10" s="225">
        <v>246.424508</v>
      </c>
      <c r="BF10" s="225">
        <v>1.66</v>
      </c>
      <c r="BG10" s="225">
        <v>1.66</v>
      </c>
      <c r="BH10" s="224"/>
      <c r="BI10" s="224"/>
      <c r="BJ10" s="225">
        <v>4732.434021</v>
      </c>
      <c r="BK10" s="225">
        <v>18.826955999999999</v>
      </c>
      <c r="BL10" s="225">
        <v>196.86704900000001</v>
      </c>
      <c r="BM10" s="225">
        <v>131.16583800000001</v>
      </c>
      <c r="BN10" s="225">
        <v>150.02360400000001</v>
      </c>
      <c r="BO10" s="225">
        <v>0</v>
      </c>
      <c r="BP10" s="225">
        <v>496.88344699999999</v>
      </c>
      <c r="BQ10" s="225">
        <v>496.88344699999999</v>
      </c>
      <c r="BR10" s="224"/>
      <c r="BS10" s="224"/>
      <c r="BT10" s="224"/>
      <c r="BU10" s="224"/>
      <c r="BV10" s="224"/>
      <c r="BW10" s="224"/>
      <c r="BX10" s="224"/>
      <c r="BY10" s="224"/>
      <c r="BZ10" s="224"/>
      <c r="CA10" s="224"/>
      <c r="CB10" s="224"/>
      <c r="CC10" s="224"/>
      <c r="CD10" s="226">
        <v>5229.3174680000002</v>
      </c>
    </row>
    <row r="11" spans="1:82" x14ac:dyDescent="0.3">
      <c r="A11" s="221" t="str">
        <f t="shared" si="2"/>
        <v>ADDDiscoveryAdvancing Informal STEM Learning (AISL)Total</v>
      </c>
      <c r="B11" s="6" t="s">
        <v>81</v>
      </c>
      <c r="C11" s="6" t="s">
        <v>82</v>
      </c>
      <c r="D11" s="224" t="s">
        <v>83</v>
      </c>
      <c r="E11" s="6" t="s">
        <v>24</v>
      </c>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5">
        <v>65.503758000000005</v>
      </c>
      <c r="BM11" s="224"/>
      <c r="BN11" s="224"/>
      <c r="BO11" s="224"/>
      <c r="BP11" s="225">
        <v>65.503758000000005</v>
      </c>
      <c r="BQ11" s="225">
        <v>65.503758000000005</v>
      </c>
      <c r="BR11" s="224"/>
      <c r="BS11" s="224"/>
      <c r="BT11" s="224"/>
      <c r="BU11" s="224"/>
      <c r="BV11" s="224"/>
      <c r="BW11" s="224"/>
      <c r="BX11" s="224"/>
      <c r="BY11" s="224"/>
      <c r="BZ11" s="224"/>
      <c r="CA11" s="224"/>
      <c r="CB11" s="224"/>
      <c r="CC11" s="224"/>
      <c r="CD11" s="226">
        <v>65.503758000000005</v>
      </c>
    </row>
    <row r="12" spans="1:82" x14ac:dyDescent="0.3">
      <c r="A12" s="221" t="str">
        <f t="shared" si="2"/>
        <v>ADDDiscoveryAlliances for Graduate Education &amp; the Professoriate (AGEP)Total</v>
      </c>
      <c r="B12" s="6" t="s">
        <v>81</v>
      </c>
      <c r="C12" s="6" t="s">
        <v>82</v>
      </c>
      <c r="D12" s="224" t="s">
        <v>84</v>
      </c>
      <c r="E12" s="6" t="s">
        <v>24</v>
      </c>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5">
        <v>8.5022400000000005</v>
      </c>
      <c r="BO12" s="224"/>
      <c r="BP12" s="225">
        <v>8.5022400000000005</v>
      </c>
      <c r="BQ12" s="225">
        <v>8.5022400000000005</v>
      </c>
      <c r="BR12" s="224"/>
      <c r="BS12" s="224"/>
      <c r="BT12" s="224"/>
      <c r="BU12" s="224"/>
      <c r="BV12" s="224"/>
      <c r="BW12" s="224"/>
      <c r="BX12" s="224"/>
      <c r="BY12" s="224"/>
      <c r="BZ12" s="224"/>
      <c r="CA12" s="224"/>
      <c r="CB12" s="224"/>
      <c r="CC12" s="224"/>
      <c r="CD12" s="226">
        <v>8.5022400000000005</v>
      </c>
    </row>
    <row r="13" spans="1:82" x14ac:dyDescent="0.3">
      <c r="A13" s="221" t="str">
        <f t="shared" si="2"/>
        <v>ADDDiscoveryArtificial Intelligence Research Institutes, NationalTotal</v>
      </c>
      <c r="B13" s="6" t="s">
        <v>81</v>
      </c>
      <c r="C13" s="6" t="s">
        <v>82</v>
      </c>
      <c r="D13" s="224" t="s">
        <v>85</v>
      </c>
      <c r="E13" s="6" t="s">
        <v>24</v>
      </c>
      <c r="F13" s="224"/>
      <c r="G13" s="224"/>
      <c r="H13" s="224"/>
      <c r="I13" s="224"/>
      <c r="J13" s="224"/>
      <c r="K13" s="224"/>
      <c r="L13" s="224"/>
      <c r="M13" s="225">
        <v>5.0027999999999997</v>
      </c>
      <c r="N13" s="225">
        <v>6.72</v>
      </c>
      <c r="O13" s="225">
        <v>10.063800000000001</v>
      </c>
      <c r="P13" s="225">
        <v>9.3000000000000007</v>
      </c>
      <c r="Q13" s="224"/>
      <c r="R13" s="224"/>
      <c r="S13" s="225">
        <v>31.086600000000001</v>
      </c>
      <c r="T13" s="225">
        <v>1.273684</v>
      </c>
      <c r="U13" s="225">
        <v>3</v>
      </c>
      <c r="V13" s="225">
        <v>1.7</v>
      </c>
      <c r="W13" s="225">
        <v>0.75</v>
      </c>
      <c r="X13" s="224"/>
      <c r="Y13" s="224"/>
      <c r="Z13" s="224"/>
      <c r="AA13" s="225">
        <v>6.7236840000000004</v>
      </c>
      <c r="AB13" s="224"/>
      <c r="AC13" s="224"/>
      <c r="AD13" s="224"/>
      <c r="AE13" s="224"/>
      <c r="AF13" s="225">
        <v>1.0025010000000001</v>
      </c>
      <c r="AG13" s="224"/>
      <c r="AH13" s="225">
        <v>1.0025010000000001</v>
      </c>
      <c r="AI13" s="225">
        <v>0.3</v>
      </c>
      <c r="AJ13" s="225">
        <v>2.1351100000000001</v>
      </c>
      <c r="AK13" s="224"/>
      <c r="AL13" s="225">
        <v>1</v>
      </c>
      <c r="AM13" s="224"/>
      <c r="AN13" s="225">
        <v>2.7</v>
      </c>
      <c r="AO13" s="224"/>
      <c r="AP13" s="225">
        <v>6.1351100000000001</v>
      </c>
      <c r="AQ13" s="225">
        <v>0.25</v>
      </c>
      <c r="AR13" s="224"/>
      <c r="AS13" s="225">
        <v>0.76500000000000001</v>
      </c>
      <c r="AT13" s="224"/>
      <c r="AU13" s="224"/>
      <c r="AV13" s="225">
        <v>1.0149999999999999</v>
      </c>
      <c r="AW13" s="224"/>
      <c r="AX13" s="224"/>
      <c r="AY13" s="224"/>
      <c r="AZ13" s="224"/>
      <c r="BA13" s="225">
        <v>0.3</v>
      </c>
      <c r="BB13" s="225">
        <v>0.3</v>
      </c>
      <c r="BC13" s="224"/>
      <c r="BD13" s="224"/>
      <c r="BE13" s="224"/>
      <c r="BF13" s="224"/>
      <c r="BG13" s="224"/>
      <c r="BH13" s="224"/>
      <c r="BI13" s="224"/>
      <c r="BJ13" s="225">
        <v>46.262895</v>
      </c>
      <c r="BK13" s="224"/>
      <c r="BL13" s="225">
        <v>7.6128580000000001</v>
      </c>
      <c r="BM13" s="224"/>
      <c r="BN13" s="224"/>
      <c r="BO13" s="224"/>
      <c r="BP13" s="225">
        <v>7.6128580000000001</v>
      </c>
      <c r="BQ13" s="225">
        <v>7.6128580000000001</v>
      </c>
      <c r="BR13" s="224"/>
      <c r="BS13" s="224"/>
      <c r="BT13" s="224"/>
      <c r="BU13" s="224"/>
      <c r="BV13" s="224"/>
      <c r="BW13" s="224"/>
      <c r="BX13" s="224"/>
      <c r="BY13" s="224"/>
      <c r="BZ13" s="224"/>
      <c r="CA13" s="224"/>
      <c r="CB13" s="224"/>
      <c r="CC13" s="224"/>
      <c r="CD13" s="226">
        <v>53.875753000000003</v>
      </c>
    </row>
    <row r="14" spans="1:82" x14ac:dyDescent="0.3">
      <c r="A14" s="221" t="str">
        <f t="shared" si="2"/>
        <v>ADDDiscoveryBig IdeasTotal</v>
      </c>
      <c r="B14" s="6" t="s">
        <v>81</v>
      </c>
      <c r="C14" s="6" t="s">
        <v>82</v>
      </c>
      <c r="D14" s="224" t="s">
        <v>86</v>
      </c>
      <c r="E14" s="6" t="s">
        <v>24</v>
      </c>
      <c r="F14" s="224"/>
      <c r="G14" s="224"/>
      <c r="H14" s="225">
        <v>30</v>
      </c>
      <c r="I14" s="224"/>
      <c r="J14" s="224"/>
      <c r="K14" s="224"/>
      <c r="L14" s="225">
        <v>30</v>
      </c>
      <c r="M14" s="224"/>
      <c r="N14" s="224"/>
      <c r="O14" s="224"/>
      <c r="P14" s="225">
        <v>30</v>
      </c>
      <c r="Q14" s="224"/>
      <c r="R14" s="224"/>
      <c r="S14" s="225">
        <v>30</v>
      </c>
      <c r="T14" s="224"/>
      <c r="U14" s="224"/>
      <c r="V14" s="224"/>
      <c r="W14" s="224"/>
      <c r="X14" s="225">
        <v>30.035019999999999</v>
      </c>
      <c r="Y14" s="224"/>
      <c r="Z14" s="225">
        <v>0</v>
      </c>
      <c r="AA14" s="225">
        <v>30.035019999999999</v>
      </c>
      <c r="AB14" s="224"/>
      <c r="AC14" s="224"/>
      <c r="AD14" s="224"/>
      <c r="AE14" s="224"/>
      <c r="AF14" s="225">
        <v>30.248187000000001</v>
      </c>
      <c r="AG14" s="225">
        <v>0</v>
      </c>
      <c r="AH14" s="225">
        <v>30.248187000000001</v>
      </c>
      <c r="AI14" s="224"/>
      <c r="AJ14" s="225">
        <v>0</v>
      </c>
      <c r="AK14" s="224"/>
      <c r="AL14" s="224"/>
      <c r="AM14" s="225">
        <v>88.367649</v>
      </c>
      <c r="AN14" s="224"/>
      <c r="AO14" s="225">
        <v>0</v>
      </c>
      <c r="AP14" s="225">
        <v>88.367649</v>
      </c>
      <c r="AQ14" s="225">
        <v>0</v>
      </c>
      <c r="AR14" s="224"/>
      <c r="AS14" s="224"/>
      <c r="AT14" s="225">
        <v>0</v>
      </c>
      <c r="AU14" s="225">
        <v>0</v>
      </c>
      <c r="AV14" s="225">
        <v>0</v>
      </c>
      <c r="AW14" s="225">
        <v>2.8622869999999998</v>
      </c>
      <c r="AX14" s="224"/>
      <c r="AY14" s="224"/>
      <c r="AZ14" s="225">
        <v>2.8622869999999998</v>
      </c>
      <c r="BA14" s="224"/>
      <c r="BB14" s="224"/>
      <c r="BC14" s="224"/>
      <c r="BD14" s="225">
        <v>16.863619</v>
      </c>
      <c r="BE14" s="225">
        <v>16.863619</v>
      </c>
      <c r="BF14" s="224"/>
      <c r="BG14" s="224"/>
      <c r="BH14" s="224"/>
      <c r="BI14" s="224"/>
      <c r="BJ14" s="225">
        <v>228.37676200000001</v>
      </c>
      <c r="BK14" s="225">
        <v>0</v>
      </c>
      <c r="BL14" s="224"/>
      <c r="BM14" s="224"/>
      <c r="BN14" s="225">
        <v>23.006474999999998</v>
      </c>
      <c r="BO14" s="224"/>
      <c r="BP14" s="225">
        <v>23.006474999999998</v>
      </c>
      <c r="BQ14" s="225">
        <v>23.006474999999998</v>
      </c>
      <c r="BR14" s="224"/>
      <c r="BS14" s="224"/>
      <c r="BT14" s="224"/>
      <c r="BU14" s="224"/>
      <c r="BV14" s="224"/>
      <c r="BW14" s="224"/>
      <c r="BX14" s="224"/>
      <c r="BY14" s="224"/>
      <c r="BZ14" s="224"/>
      <c r="CA14" s="224"/>
      <c r="CB14" s="224"/>
      <c r="CC14" s="224"/>
      <c r="CD14" s="226">
        <v>251.38323700000001</v>
      </c>
    </row>
    <row r="15" spans="1:82" x14ac:dyDescent="0.3">
      <c r="A15" s="221" t="str">
        <f t="shared" si="2"/>
        <v>ADDDiscoveryBig IdeasGrowing Convergence Research (GCR)</v>
      </c>
      <c r="B15" s="6" t="s">
        <v>81</v>
      </c>
      <c r="C15" s="6" t="s">
        <v>82</v>
      </c>
      <c r="D15" s="224" t="s">
        <v>86</v>
      </c>
      <c r="E15" s="224" t="s">
        <v>87</v>
      </c>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5">
        <v>16.863619</v>
      </c>
      <c r="BE15" s="225">
        <v>16.863619</v>
      </c>
      <c r="BF15" s="224"/>
      <c r="BG15" s="224"/>
      <c r="BH15" s="224"/>
      <c r="BI15" s="224"/>
      <c r="BJ15" s="225">
        <v>16.863619</v>
      </c>
      <c r="BK15" s="224"/>
      <c r="BL15" s="224"/>
      <c r="BM15" s="224"/>
      <c r="BN15" s="224"/>
      <c r="BO15" s="224"/>
      <c r="BP15" s="224"/>
      <c r="BQ15" s="224"/>
      <c r="BR15" s="224"/>
      <c r="BS15" s="224"/>
      <c r="BT15" s="224"/>
      <c r="BU15" s="224"/>
      <c r="BV15" s="224"/>
      <c r="BW15" s="224"/>
      <c r="BX15" s="224"/>
      <c r="BY15" s="224"/>
      <c r="BZ15" s="224"/>
      <c r="CA15" s="224"/>
      <c r="CB15" s="224"/>
      <c r="CC15" s="224"/>
      <c r="CD15" s="226">
        <v>16.863619</v>
      </c>
    </row>
    <row r="16" spans="1:82" x14ac:dyDescent="0.3">
      <c r="A16" s="221" t="str">
        <f t="shared" si="2"/>
        <v>ADDDiscoveryBig IdeasHarnessing the Data Revolution for 21st Century Science and Engineering (HDR)</v>
      </c>
      <c r="B16" s="6" t="s">
        <v>81</v>
      </c>
      <c r="C16" s="6" t="s">
        <v>82</v>
      </c>
      <c r="D16" s="224" t="s">
        <v>86</v>
      </c>
      <c r="E16" s="224" t="s">
        <v>88</v>
      </c>
      <c r="F16" s="224"/>
      <c r="G16" s="224"/>
      <c r="H16" s="224"/>
      <c r="I16" s="224"/>
      <c r="J16" s="224"/>
      <c r="K16" s="224"/>
      <c r="L16" s="224"/>
      <c r="M16" s="224"/>
      <c r="N16" s="224"/>
      <c r="O16" s="224"/>
      <c r="P16" s="225">
        <v>30</v>
      </c>
      <c r="Q16" s="224"/>
      <c r="R16" s="224"/>
      <c r="S16" s="225">
        <v>30</v>
      </c>
      <c r="T16" s="224"/>
      <c r="U16" s="224"/>
      <c r="V16" s="224"/>
      <c r="W16" s="224"/>
      <c r="X16" s="224"/>
      <c r="Y16" s="224"/>
      <c r="Z16" s="225">
        <v>0</v>
      </c>
      <c r="AA16" s="225">
        <v>0</v>
      </c>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5">
        <v>0</v>
      </c>
      <c r="AX16" s="224"/>
      <c r="AY16" s="224"/>
      <c r="AZ16" s="225">
        <v>0</v>
      </c>
      <c r="BA16" s="224"/>
      <c r="BB16" s="224"/>
      <c r="BC16" s="224"/>
      <c r="BD16" s="225">
        <v>0</v>
      </c>
      <c r="BE16" s="225">
        <v>0</v>
      </c>
      <c r="BF16" s="224"/>
      <c r="BG16" s="224"/>
      <c r="BH16" s="224"/>
      <c r="BI16" s="224"/>
      <c r="BJ16" s="225">
        <v>30</v>
      </c>
      <c r="BK16" s="224"/>
      <c r="BL16" s="224"/>
      <c r="BM16" s="224"/>
      <c r="BN16" s="224"/>
      <c r="BO16" s="224"/>
      <c r="BP16" s="224"/>
      <c r="BQ16" s="224"/>
      <c r="BR16" s="224"/>
      <c r="BS16" s="224"/>
      <c r="BT16" s="224"/>
      <c r="BU16" s="224"/>
      <c r="BV16" s="224"/>
      <c r="BW16" s="224"/>
      <c r="BX16" s="224"/>
      <c r="BY16" s="224"/>
      <c r="BZ16" s="224"/>
      <c r="CA16" s="224"/>
      <c r="CB16" s="224"/>
      <c r="CC16" s="224"/>
      <c r="CD16" s="226">
        <v>30</v>
      </c>
    </row>
    <row r="17" spans="1:82" x14ac:dyDescent="0.3">
      <c r="A17" s="221" t="str">
        <f t="shared" si="2"/>
        <v>ADDDiscoveryBig IdeasNavigating the New Arctic (NNA)</v>
      </c>
      <c r="B17" s="6" t="s">
        <v>81</v>
      </c>
      <c r="C17" s="6" t="s">
        <v>82</v>
      </c>
      <c r="D17" s="224" t="s">
        <v>86</v>
      </c>
      <c r="E17" s="224" t="s">
        <v>89</v>
      </c>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5">
        <v>30.248187000000001</v>
      </c>
      <c r="AG17" s="224"/>
      <c r="AH17" s="225">
        <v>30.248187000000001</v>
      </c>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5">
        <v>30.248187000000001</v>
      </c>
      <c r="BK17" s="224"/>
      <c r="BL17" s="224"/>
      <c r="BM17" s="224"/>
      <c r="BN17" s="224"/>
      <c r="BO17" s="224"/>
      <c r="BP17" s="224"/>
      <c r="BQ17" s="224"/>
      <c r="BR17" s="224"/>
      <c r="BS17" s="224"/>
      <c r="BT17" s="224"/>
      <c r="BU17" s="224"/>
      <c r="BV17" s="224"/>
      <c r="BW17" s="224"/>
      <c r="BX17" s="224"/>
      <c r="BY17" s="224"/>
      <c r="BZ17" s="224"/>
      <c r="CA17" s="224"/>
      <c r="CB17" s="224"/>
      <c r="CC17" s="224"/>
      <c r="CD17" s="226">
        <v>30.248187000000001</v>
      </c>
    </row>
    <row r="18" spans="1:82" x14ac:dyDescent="0.3">
      <c r="A18" s="221" t="str">
        <f t="shared" si="2"/>
        <v>ADDDiscoveryBig IdeasNSF 2026 Fund (NSF 2026)</v>
      </c>
      <c r="B18" s="6" t="s">
        <v>81</v>
      </c>
      <c r="C18" s="6" t="s">
        <v>82</v>
      </c>
      <c r="D18" s="224" t="s">
        <v>86</v>
      </c>
      <c r="E18" s="224" t="s">
        <v>90</v>
      </c>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5">
        <v>0</v>
      </c>
      <c r="BE18" s="225">
        <v>0</v>
      </c>
      <c r="BF18" s="224"/>
      <c r="BG18" s="224"/>
      <c r="BH18" s="224"/>
      <c r="BI18" s="224"/>
      <c r="BJ18" s="225">
        <v>0</v>
      </c>
      <c r="BK18" s="224"/>
      <c r="BL18" s="224"/>
      <c r="BM18" s="224"/>
      <c r="BN18" s="224"/>
      <c r="BO18" s="224"/>
      <c r="BP18" s="224"/>
      <c r="BQ18" s="224"/>
      <c r="BR18" s="224"/>
      <c r="BS18" s="224"/>
      <c r="BT18" s="224"/>
      <c r="BU18" s="224"/>
      <c r="BV18" s="224"/>
      <c r="BW18" s="224"/>
      <c r="BX18" s="224"/>
      <c r="BY18" s="224"/>
      <c r="BZ18" s="224"/>
      <c r="CA18" s="224"/>
      <c r="CB18" s="224"/>
      <c r="CC18" s="224"/>
      <c r="CD18" s="226">
        <v>0</v>
      </c>
    </row>
    <row r="19" spans="1:82" x14ac:dyDescent="0.3">
      <c r="A19" s="221" t="str">
        <f t="shared" si="2"/>
        <v>ADDDiscoveryBig IdeasNSF INCLUDES</v>
      </c>
      <c r="B19" s="6" t="s">
        <v>81</v>
      </c>
      <c r="C19" s="6" t="s">
        <v>82</v>
      </c>
      <c r="D19" s="224" t="s">
        <v>86</v>
      </c>
      <c r="E19" s="224" t="s">
        <v>91</v>
      </c>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5">
        <v>0</v>
      </c>
      <c r="AG19" s="224"/>
      <c r="AH19" s="225">
        <v>0</v>
      </c>
      <c r="AI19" s="224"/>
      <c r="AJ19" s="224"/>
      <c r="AK19" s="224"/>
      <c r="AL19" s="224"/>
      <c r="AM19" s="225">
        <v>0</v>
      </c>
      <c r="AN19" s="224"/>
      <c r="AO19" s="224"/>
      <c r="AP19" s="225">
        <v>0</v>
      </c>
      <c r="AQ19" s="225">
        <v>0</v>
      </c>
      <c r="AR19" s="224"/>
      <c r="AS19" s="224"/>
      <c r="AT19" s="225">
        <v>0</v>
      </c>
      <c r="AU19" s="224"/>
      <c r="AV19" s="225">
        <v>0</v>
      </c>
      <c r="AW19" s="224"/>
      <c r="AX19" s="224"/>
      <c r="AY19" s="224"/>
      <c r="AZ19" s="224"/>
      <c r="BA19" s="224"/>
      <c r="BB19" s="224"/>
      <c r="BC19" s="224"/>
      <c r="BD19" s="225">
        <v>0</v>
      </c>
      <c r="BE19" s="225">
        <v>0</v>
      </c>
      <c r="BF19" s="224"/>
      <c r="BG19" s="224"/>
      <c r="BH19" s="224"/>
      <c r="BI19" s="224"/>
      <c r="BJ19" s="225">
        <v>0</v>
      </c>
      <c r="BK19" s="225">
        <v>0</v>
      </c>
      <c r="BL19" s="224"/>
      <c r="BM19" s="224"/>
      <c r="BN19" s="225">
        <v>23.006474999999998</v>
      </c>
      <c r="BO19" s="224"/>
      <c r="BP19" s="225">
        <v>23.006474999999998</v>
      </c>
      <c r="BQ19" s="225">
        <v>23.006474999999998</v>
      </c>
      <c r="BR19" s="224"/>
      <c r="BS19" s="224"/>
      <c r="BT19" s="224"/>
      <c r="BU19" s="224"/>
      <c r="BV19" s="224"/>
      <c r="BW19" s="224"/>
      <c r="BX19" s="224"/>
      <c r="BY19" s="224"/>
      <c r="BZ19" s="224"/>
      <c r="CA19" s="224"/>
      <c r="CB19" s="224"/>
      <c r="CC19" s="224"/>
      <c r="CD19" s="226">
        <v>23.006474999999998</v>
      </c>
    </row>
    <row r="20" spans="1:82" x14ac:dyDescent="0.3">
      <c r="A20" s="221" t="str">
        <f t="shared" si="2"/>
        <v>ADDDiscoveryBig IdeasQuantum Leap Challenge Institutes</v>
      </c>
      <c r="B20" s="6" t="s">
        <v>81</v>
      </c>
      <c r="C20" s="6" t="s">
        <v>82</v>
      </c>
      <c r="D20" s="224" t="s">
        <v>86</v>
      </c>
      <c r="E20" s="224" t="s">
        <v>92</v>
      </c>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5">
        <v>58.367649</v>
      </c>
      <c r="AN20" s="224"/>
      <c r="AO20" s="224"/>
      <c r="AP20" s="225">
        <v>58.367649</v>
      </c>
      <c r="AQ20" s="224"/>
      <c r="AR20" s="224"/>
      <c r="AS20" s="224"/>
      <c r="AT20" s="224"/>
      <c r="AU20" s="224"/>
      <c r="AV20" s="224"/>
      <c r="AW20" s="224"/>
      <c r="AX20" s="224"/>
      <c r="AY20" s="224"/>
      <c r="AZ20" s="224"/>
      <c r="BA20" s="224"/>
      <c r="BB20" s="224"/>
      <c r="BC20" s="224"/>
      <c r="BD20" s="224"/>
      <c r="BE20" s="224"/>
      <c r="BF20" s="224"/>
      <c r="BG20" s="224"/>
      <c r="BH20" s="224"/>
      <c r="BI20" s="224"/>
      <c r="BJ20" s="225">
        <v>58.367649</v>
      </c>
      <c r="BK20" s="224"/>
      <c r="BL20" s="224"/>
      <c r="BM20" s="224"/>
      <c r="BN20" s="224"/>
      <c r="BO20" s="224"/>
      <c r="BP20" s="224"/>
      <c r="BQ20" s="224"/>
      <c r="BR20" s="224"/>
      <c r="BS20" s="224"/>
      <c r="BT20" s="224"/>
      <c r="BU20" s="224"/>
      <c r="BV20" s="224"/>
      <c r="BW20" s="224"/>
      <c r="BX20" s="224"/>
      <c r="BY20" s="224"/>
      <c r="BZ20" s="224"/>
      <c r="CA20" s="224"/>
      <c r="CB20" s="224"/>
      <c r="CC20" s="224"/>
      <c r="CD20" s="226">
        <v>58.367649</v>
      </c>
    </row>
    <row r="21" spans="1:82" x14ac:dyDescent="0.3">
      <c r="A21" s="221" t="str">
        <f t="shared" si="2"/>
        <v>ADDDiscoveryBig IdeasThe Future of Work at the Human-Technology Frontier (FW-HTF)</v>
      </c>
      <c r="B21" s="6" t="s">
        <v>81</v>
      </c>
      <c r="C21" s="6" t="s">
        <v>82</v>
      </c>
      <c r="D21" s="224" t="s">
        <v>86</v>
      </c>
      <c r="E21" s="224" t="s">
        <v>93</v>
      </c>
      <c r="F21" s="224"/>
      <c r="G21" s="224"/>
      <c r="H21" s="224"/>
      <c r="I21" s="224"/>
      <c r="J21" s="224"/>
      <c r="K21" s="224"/>
      <c r="L21" s="224"/>
      <c r="M21" s="224"/>
      <c r="N21" s="224"/>
      <c r="O21" s="224"/>
      <c r="P21" s="224"/>
      <c r="Q21" s="224"/>
      <c r="R21" s="224"/>
      <c r="S21" s="224"/>
      <c r="T21" s="224"/>
      <c r="U21" s="224"/>
      <c r="V21" s="224"/>
      <c r="W21" s="224"/>
      <c r="X21" s="225">
        <v>30.035019999999999</v>
      </c>
      <c r="Y21" s="224"/>
      <c r="Z21" s="225">
        <v>0</v>
      </c>
      <c r="AA21" s="225">
        <v>30.035019999999999</v>
      </c>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5">
        <v>2.8622869999999998</v>
      </c>
      <c r="AX21" s="224"/>
      <c r="AY21" s="224"/>
      <c r="AZ21" s="225">
        <v>2.8622869999999998</v>
      </c>
      <c r="BA21" s="224"/>
      <c r="BB21" s="224"/>
      <c r="BC21" s="224"/>
      <c r="BD21" s="225">
        <v>0</v>
      </c>
      <c r="BE21" s="225">
        <v>0</v>
      </c>
      <c r="BF21" s="224"/>
      <c r="BG21" s="224"/>
      <c r="BH21" s="224"/>
      <c r="BI21" s="224"/>
      <c r="BJ21" s="225">
        <v>32.897306999999998</v>
      </c>
      <c r="BK21" s="224"/>
      <c r="BL21" s="224"/>
      <c r="BM21" s="224"/>
      <c r="BN21" s="224"/>
      <c r="BO21" s="224"/>
      <c r="BP21" s="224"/>
      <c r="BQ21" s="224"/>
      <c r="BR21" s="224"/>
      <c r="BS21" s="224"/>
      <c r="BT21" s="224"/>
      <c r="BU21" s="224"/>
      <c r="BV21" s="224"/>
      <c r="BW21" s="224"/>
      <c r="BX21" s="224"/>
      <c r="BY21" s="224"/>
      <c r="BZ21" s="224"/>
      <c r="CA21" s="224"/>
      <c r="CB21" s="224"/>
      <c r="CC21" s="224"/>
      <c r="CD21" s="226">
        <v>32.897306999999998</v>
      </c>
    </row>
    <row r="22" spans="1:82" x14ac:dyDescent="0.3">
      <c r="A22" s="221" t="str">
        <f t="shared" si="2"/>
        <v>ADDDiscoveryBig IdeasThe Quantum Leap (QL)</v>
      </c>
      <c r="B22" s="6" t="s">
        <v>81</v>
      </c>
      <c r="C22" s="6" t="s">
        <v>82</v>
      </c>
      <c r="D22" s="224" t="s">
        <v>86</v>
      </c>
      <c r="E22" s="224" t="s">
        <v>94</v>
      </c>
      <c r="F22" s="224"/>
      <c r="G22" s="224"/>
      <c r="H22" s="224"/>
      <c r="I22" s="224"/>
      <c r="J22" s="224"/>
      <c r="K22" s="224"/>
      <c r="L22" s="224"/>
      <c r="M22" s="224"/>
      <c r="N22" s="224"/>
      <c r="O22" s="224"/>
      <c r="P22" s="224"/>
      <c r="Q22" s="224"/>
      <c r="R22" s="224"/>
      <c r="S22" s="224"/>
      <c r="T22" s="224"/>
      <c r="U22" s="224"/>
      <c r="V22" s="224"/>
      <c r="W22" s="224"/>
      <c r="X22" s="224"/>
      <c r="Y22" s="224"/>
      <c r="Z22" s="225">
        <v>0</v>
      </c>
      <c r="AA22" s="225">
        <v>0</v>
      </c>
      <c r="AB22" s="224"/>
      <c r="AC22" s="224"/>
      <c r="AD22" s="224"/>
      <c r="AE22" s="224"/>
      <c r="AF22" s="224"/>
      <c r="AG22" s="224"/>
      <c r="AH22" s="224"/>
      <c r="AI22" s="224"/>
      <c r="AJ22" s="225">
        <v>0</v>
      </c>
      <c r="AK22" s="224"/>
      <c r="AL22" s="224"/>
      <c r="AM22" s="225">
        <v>0</v>
      </c>
      <c r="AN22" s="224"/>
      <c r="AO22" s="224"/>
      <c r="AP22" s="225">
        <v>0</v>
      </c>
      <c r="AQ22" s="224"/>
      <c r="AR22" s="224"/>
      <c r="AS22" s="224"/>
      <c r="AT22" s="224"/>
      <c r="AU22" s="224"/>
      <c r="AV22" s="224"/>
      <c r="AW22" s="224"/>
      <c r="AX22" s="224"/>
      <c r="AY22" s="224"/>
      <c r="AZ22" s="224"/>
      <c r="BA22" s="224"/>
      <c r="BB22" s="224"/>
      <c r="BC22" s="224"/>
      <c r="BD22" s="224"/>
      <c r="BE22" s="224"/>
      <c r="BF22" s="224"/>
      <c r="BG22" s="224"/>
      <c r="BH22" s="224"/>
      <c r="BI22" s="224"/>
      <c r="BJ22" s="225">
        <v>0</v>
      </c>
      <c r="BK22" s="224"/>
      <c r="BL22" s="224"/>
      <c r="BM22" s="224"/>
      <c r="BN22" s="224"/>
      <c r="BO22" s="224"/>
      <c r="BP22" s="224"/>
      <c r="BQ22" s="224"/>
      <c r="BR22" s="224"/>
      <c r="BS22" s="224"/>
      <c r="BT22" s="224"/>
      <c r="BU22" s="224"/>
      <c r="BV22" s="224"/>
      <c r="BW22" s="224"/>
      <c r="BX22" s="224"/>
      <c r="BY22" s="224"/>
      <c r="BZ22" s="224"/>
      <c r="CA22" s="224"/>
      <c r="CB22" s="224"/>
      <c r="CC22" s="224"/>
      <c r="CD22" s="226">
        <v>0</v>
      </c>
    </row>
    <row r="23" spans="1:82" x14ac:dyDescent="0.3">
      <c r="A23" s="221" t="str">
        <f t="shared" si="2"/>
        <v>ADDDiscoveryBig IdeasUnderstanding the Rules of Life (URoL)</v>
      </c>
      <c r="B23" s="6" t="s">
        <v>81</v>
      </c>
      <c r="C23" s="6" t="s">
        <v>82</v>
      </c>
      <c r="D23" s="224" t="s">
        <v>86</v>
      </c>
      <c r="E23" s="224" t="s">
        <v>95</v>
      </c>
      <c r="F23" s="224"/>
      <c r="G23" s="224"/>
      <c r="H23" s="225">
        <v>30</v>
      </c>
      <c r="I23" s="224"/>
      <c r="J23" s="224"/>
      <c r="K23" s="224"/>
      <c r="L23" s="225">
        <v>30</v>
      </c>
      <c r="M23" s="224"/>
      <c r="N23" s="224"/>
      <c r="O23" s="224"/>
      <c r="P23" s="224"/>
      <c r="Q23" s="224"/>
      <c r="R23" s="224"/>
      <c r="S23" s="224"/>
      <c r="T23" s="224"/>
      <c r="U23" s="224"/>
      <c r="V23" s="224"/>
      <c r="W23" s="224"/>
      <c r="X23" s="224"/>
      <c r="Y23" s="224"/>
      <c r="Z23" s="225">
        <v>0</v>
      </c>
      <c r="AA23" s="225">
        <v>0</v>
      </c>
      <c r="AB23" s="224"/>
      <c r="AC23" s="224"/>
      <c r="AD23" s="224"/>
      <c r="AE23" s="224"/>
      <c r="AF23" s="224"/>
      <c r="AG23" s="225">
        <v>0</v>
      </c>
      <c r="AH23" s="225">
        <v>0</v>
      </c>
      <c r="AI23" s="224"/>
      <c r="AJ23" s="225">
        <v>0</v>
      </c>
      <c r="AK23" s="224"/>
      <c r="AL23" s="224"/>
      <c r="AM23" s="224"/>
      <c r="AN23" s="224"/>
      <c r="AO23" s="225">
        <v>0</v>
      </c>
      <c r="AP23" s="225">
        <v>0</v>
      </c>
      <c r="AQ23" s="224"/>
      <c r="AR23" s="224"/>
      <c r="AS23" s="224"/>
      <c r="AT23" s="224"/>
      <c r="AU23" s="225">
        <v>0</v>
      </c>
      <c r="AV23" s="225">
        <v>0</v>
      </c>
      <c r="AW23" s="224"/>
      <c r="AX23" s="224"/>
      <c r="AY23" s="224"/>
      <c r="AZ23" s="224"/>
      <c r="BA23" s="224"/>
      <c r="BB23" s="224"/>
      <c r="BC23" s="224"/>
      <c r="BD23" s="224"/>
      <c r="BE23" s="224"/>
      <c r="BF23" s="224"/>
      <c r="BG23" s="224"/>
      <c r="BH23" s="224"/>
      <c r="BI23" s="224"/>
      <c r="BJ23" s="225">
        <v>30</v>
      </c>
      <c r="BK23" s="224"/>
      <c r="BL23" s="224"/>
      <c r="BM23" s="224"/>
      <c r="BN23" s="224"/>
      <c r="BO23" s="224"/>
      <c r="BP23" s="224"/>
      <c r="BQ23" s="224"/>
      <c r="BR23" s="224"/>
      <c r="BS23" s="224"/>
      <c r="BT23" s="224"/>
      <c r="BU23" s="224"/>
      <c r="BV23" s="224"/>
      <c r="BW23" s="224"/>
      <c r="BX23" s="224"/>
      <c r="BY23" s="224"/>
      <c r="BZ23" s="224"/>
      <c r="CA23" s="224"/>
      <c r="CB23" s="224"/>
      <c r="CC23" s="224"/>
      <c r="CD23" s="226">
        <v>30</v>
      </c>
    </row>
    <row r="24" spans="1:82" x14ac:dyDescent="0.3">
      <c r="A24" s="221" t="str">
        <f t="shared" si="2"/>
        <v>ADDDiscoveryBig IdeasWindows on the Universe (WoU)</v>
      </c>
      <c r="B24" s="6" t="s">
        <v>81</v>
      </c>
      <c r="C24" s="6" t="s">
        <v>82</v>
      </c>
      <c r="D24" s="224" t="s">
        <v>86</v>
      </c>
      <c r="E24" s="224" t="s">
        <v>96</v>
      </c>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v>30</v>
      </c>
      <c r="AN24" s="224"/>
      <c r="AO24" s="224"/>
      <c r="AP24" s="225">
        <v>30</v>
      </c>
      <c r="AQ24" s="224"/>
      <c r="AR24" s="224"/>
      <c r="AS24" s="224"/>
      <c r="AT24" s="224"/>
      <c r="AU24" s="224"/>
      <c r="AV24" s="224"/>
      <c r="AW24" s="224"/>
      <c r="AX24" s="224"/>
      <c r="AY24" s="224"/>
      <c r="AZ24" s="224"/>
      <c r="BA24" s="224"/>
      <c r="BB24" s="224"/>
      <c r="BC24" s="224"/>
      <c r="BD24" s="224"/>
      <c r="BE24" s="224"/>
      <c r="BF24" s="224"/>
      <c r="BG24" s="224"/>
      <c r="BH24" s="224"/>
      <c r="BI24" s="224"/>
      <c r="BJ24" s="225">
        <v>30</v>
      </c>
      <c r="BK24" s="224"/>
      <c r="BL24" s="224"/>
      <c r="BM24" s="224"/>
      <c r="BN24" s="224"/>
      <c r="BO24" s="224"/>
      <c r="BP24" s="224"/>
      <c r="BQ24" s="224"/>
      <c r="BR24" s="224"/>
      <c r="BS24" s="224"/>
      <c r="BT24" s="224"/>
      <c r="BU24" s="224"/>
      <c r="BV24" s="224"/>
      <c r="BW24" s="224"/>
      <c r="BX24" s="224"/>
      <c r="BY24" s="224"/>
      <c r="BZ24" s="224"/>
      <c r="CA24" s="224"/>
      <c r="CB24" s="224"/>
      <c r="CC24" s="224"/>
      <c r="CD24" s="226">
        <v>30</v>
      </c>
    </row>
    <row r="25" spans="1:82" x14ac:dyDescent="0.3">
      <c r="A25" s="221" t="str">
        <f t="shared" si="2"/>
        <v>ADDDiscoveryBiology Integration Institutes (BII)Total</v>
      </c>
      <c r="B25" s="6" t="s">
        <v>81</v>
      </c>
      <c r="C25" s="6" t="s">
        <v>82</v>
      </c>
      <c r="D25" s="224" t="s">
        <v>97</v>
      </c>
      <c r="E25" s="6" t="s">
        <v>24</v>
      </c>
      <c r="F25" s="225">
        <v>15.6036</v>
      </c>
      <c r="G25" s="224"/>
      <c r="H25" s="225">
        <v>10.294889</v>
      </c>
      <c r="I25" s="224"/>
      <c r="J25" s="224"/>
      <c r="K25" s="224"/>
      <c r="L25" s="225">
        <v>25.898489000000001</v>
      </c>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5">
        <v>25.898489000000001</v>
      </c>
      <c r="BK25" s="224"/>
      <c r="BL25" s="224"/>
      <c r="BM25" s="224"/>
      <c r="BN25" s="224"/>
      <c r="BO25" s="224"/>
      <c r="BP25" s="224"/>
      <c r="BQ25" s="224"/>
      <c r="BR25" s="224"/>
      <c r="BS25" s="224"/>
      <c r="BT25" s="224"/>
      <c r="BU25" s="224"/>
      <c r="BV25" s="224"/>
      <c r="BW25" s="224"/>
      <c r="BX25" s="224"/>
      <c r="BY25" s="224"/>
      <c r="BZ25" s="224"/>
      <c r="CA25" s="224"/>
      <c r="CB25" s="224"/>
      <c r="CC25" s="224"/>
      <c r="CD25" s="226">
        <v>25.898489000000001</v>
      </c>
    </row>
    <row r="26" spans="1:82" x14ac:dyDescent="0.3">
      <c r="A26" s="221" t="str">
        <f t="shared" si="2"/>
        <v>ADDDiscoveryCAREERTotal</v>
      </c>
      <c r="B26" s="6" t="s">
        <v>81</v>
      </c>
      <c r="C26" s="6" t="s">
        <v>82</v>
      </c>
      <c r="D26" s="224" t="s">
        <v>98</v>
      </c>
      <c r="E26" s="6" t="s">
        <v>24</v>
      </c>
      <c r="F26" s="225">
        <v>3.9543249999999999</v>
      </c>
      <c r="G26" s="225">
        <v>18.949507000000001</v>
      </c>
      <c r="H26" s="225">
        <v>3.8999999999999999E-5</v>
      </c>
      <c r="I26" s="225">
        <v>22.463671000000001</v>
      </c>
      <c r="J26" s="225">
        <v>15.202577</v>
      </c>
      <c r="K26" s="224"/>
      <c r="L26" s="225">
        <v>60.570118999999998</v>
      </c>
      <c r="M26" s="225">
        <v>20.612264</v>
      </c>
      <c r="N26" s="225">
        <v>21.999151000000001</v>
      </c>
      <c r="O26" s="225">
        <v>46.578051000000002</v>
      </c>
      <c r="P26" s="225">
        <v>0.327905</v>
      </c>
      <c r="Q26" s="225">
        <v>2.0987779999999998</v>
      </c>
      <c r="R26" s="224"/>
      <c r="S26" s="225">
        <v>91.616148999999993</v>
      </c>
      <c r="T26" s="225">
        <v>42.944056000000003</v>
      </c>
      <c r="U26" s="225">
        <v>48.242317</v>
      </c>
      <c r="V26" s="225">
        <v>25.082547999999999</v>
      </c>
      <c r="W26" s="225">
        <v>2.5819899999999998</v>
      </c>
      <c r="X26" s="224"/>
      <c r="Y26" s="224"/>
      <c r="Z26" s="224"/>
      <c r="AA26" s="225">
        <v>118.850911</v>
      </c>
      <c r="AB26" s="225">
        <v>6.5728390000000001</v>
      </c>
      <c r="AC26" s="225">
        <v>17.971405000000001</v>
      </c>
      <c r="AD26" s="225">
        <v>6.9485469999999996</v>
      </c>
      <c r="AE26" s="225">
        <v>0.82333699999999999</v>
      </c>
      <c r="AF26" s="225">
        <v>0</v>
      </c>
      <c r="AG26" s="224"/>
      <c r="AH26" s="225">
        <v>32.316127999999999</v>
      </c>
      <c r="AI26" s="225">
        <v>2.6890749999999999</v>
      </c>
      <c r="AJ26" s="225">
        <v>20.836971999999999</v>
      </c>
      <c r="AK26" s="225">
        <v>32.488067000000001</v>
      </c>
      <c r="AL26" s="225">
        <v>15.939226</v>
      </c>
      <c r="AM26" s="225">
        <v>0.50413600000000003</v>
      </c>
      <c r="AN26" s="225">
        <v>10.002351000000001</v>
      </c>
      <c r="AO26" s="224"/>
      <c r="AP26" s="225">
        <v>82.459827000000004</v>
      </c>
      <c r="AQ26" s="225">
        <v>12.493767999999999</v>
      </c>
      <c r="AR26" s="224"/>
      <c r="AS26" s="225">
        <v>0.22500000000000001</v>
      </c>
      <c r="AT26" s="225">
        <v>4.8886190000000003</v>
      </c>
      <c r="AU26" s="224"/>
      <c r="AV26" s="225">
        <v>17.607386999999999</v>
      </c>
      <c r="AW26" s="224"/>
      <c r="AX26" s="224"/>
      <c r="AY26" s="224"/>
      <c r="AZ26" s="224"/>
      <c r="BA26" s="224"/>
      <c r="BB26" s="224"/>
      <c r="BC26" s="224"/>
      <c r="BD26" s="224"/>
      <c r="BE26" s="224"/>
      <c r="BF26" s="224"/>
      <c r="BG26" s="224"/>
      <c r="BH26" s="224"/>
      <c r="BI26" s="224"/>
      <c r="BJ26" s="225">
        <v>403.42052100000001</v>
      </c>
      <c r="BK26" s="224"/>
      <c r="BL26" s="224"/>
      <c r="BM26" s="224"/>
      <c r="BN26" s="224"/>
      <c r="BO26" s="224"/>
      <c r="BP26" s="224"/>
      <c r="BQ26" s="224"/>
      <c r="BR26" s="224"/>
      <c r="BS26" s="224"/>
      <c r="BT26" s="224"/>
      <c r="BU26" s="224"/>
      <c r="BV26" s="224"/>
      <c r="BW26" s="224"/>
      <c r="BX26" s="224"/>
      <c r="BY26" s="224"/>
      <c r="BZ26" s="224"/>
      <c r="CA26" s="224"/>
      <c r="CB26" s="224"/>
      <c r="CC26" s="224"/>
      <c r="CD26" s="226">
        <v>403.42052100000001</v>
      </c>
    </row>
    <row r="27" spans="1:82" x14ac:dyDescent="0.3">
      <c r="A27" s="221" t="str">
        <f t="shared" si="2"/>
        <v>ADDDiscoveryCenters for Analysis &amp; SynthesisTotal</v>
      </c>
      <c r="B27" s="6" t="s">
        <v>81</v>
      </c>
      <c r="C27" s="6" t="s">
        <v>82</v>
      </c>
      <c r="D27" s="224" t="s">
        <v>99</v>
      </c>
      <c r="E27" s="6" t="s">
        <v>24</v>
      </c>
      <c r="F27" s="225">
        <v>1.5</v>
      </c>
      <c r="G27" s="224"/>
      <c r="H27" s="224"/>
      <c r="I27" s="225">
        <v>0</v>
      </c>
      <c r="J27" s="224"/>
      <c r="K27" s="224"/>
      <c r="L27" s="225">
        <v>1.5</v>
      </c>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5">
        <v>0</v>
      </c>
      <c r="AM27" s="224"/>
      <c r="AN27" s="224"/>
      <c r="AO27" s="224"/>
      <c r="AP27" s="225">
        <v>0</v>
      </c>
      <c r="AQ27" s="224"/>
      <c r="AR27" s="224"/>
      <c r="AS27" s="224"/>
      <c r="AT27" s="224"/>
      <c r="AU27" s="224"/>
      <c r="AV27" s="224"/>
      <c r="AW27" s="224"/>
      <c r="AX27" s="224"/>
      <c r="AY27" s="224"/>
      <c r="AZ27" s="224"/>
      <c r="BA27" s="224"/>
      <c r="BB27" s="224"/>
      <c r="BC27" s="224"/>
      <c r="BD27" s="224"/>
      <c r="BE27" s="224"/>
      <c r="BF27" s="224"/>
      <c r="BG27" s="224"/>
      <c r="BH27" s="224"/>
      <c r="BI27" s="224"/>
      <c r="BJ27" s="225">
        <v>1.5</v>
      </c>
      <c r="BK27" s="224"/>
      <c r="BL27" s="224"/>
      <c r="BM27" s="224"/>
      <c r="BN27" s="224"/>
      <c r="BO27" s="224"/>
      <c r="BP27" s="224"/>
      <c r="BQ27" s="224"/>
      <c r="BR27" s="224"/>
      <c r="BS27" s="224"/>
      <c r="BT27" s="224"/>
      <c r="BU27" s="224"/>
      <c r="BV27" s="224"/>
      <c r="BW27" s="224"/>
      <c r="BX27" s="224"/>
      <c r="BY27" s="224"/>
      <c r="BZ27" s="224"/>
      <c r="CA27" s="224"/>
      <c r="CB27" s="224"/>
      <c r="CC27" s="224"/>
      <c r="CD27" s="226">
        <v>1.5</v>
      </c>
    </row>
    <row r="28" spans="1:82" x14ac:dyDescent="0.3">
      <c r="A28" s="221" t="str">
        <f t="shared" si="2"/>
        <v>ADDDiscoveryCenters for Chemical Innovation (CCI)Total</v>
      </c>
      <c r="B28" s="6" t="s">
        <v>81</v>
      </c>
      <c r="C28" s="6" t="s">
        <v>82</v>
      </c>
      <c r="D28" s="224" t="s">
        <v>100</v>
      </c>
      <c r="E28" s="6" t="s">
        <v>24</v>
      </c>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5">
        <v>26.458831</v>
      </c>
      <c r="AK28" s="224"/>
      <c r="AL28" s="224"/>
      <c r="AM28" s="225">
        <v>1</v>
      </c>
      <c r="AN28" s="224"/>
      <c r="AO28" s="224"/>
      <c r="AP28" s="225">
        <v>27.458831</v>
      </c>
      <c r="AQ28" s="224"/>
      <c r="AR28" s="224"/>
      <c r="AS28" s="224"/>
      <c r="AT28" s="224"/>
      <c r="AU28" s="224"/>
      <c r="AV28" s="224"/>
      <c r="AW28" s="224"/>
      <c r="AX28" s="224"/>
      <c r="AY28" s="224"/>
      <c r="AZ28" s="224"/>
      <c r="BA28" s="224"/>
      <c r="BB28" s="224"/>
      <c r="BC28" s="224"/>
      <c r="BD28" s="224"/>
      <c r="BE28" s="224"/>
      <c r="BF28" s="224"/>
      <c r="BG28" s="224"/>
      <c r="BH28" s="224"/>
      <c r="BI28" s="224"/>
      <c r="BJ28" s="225">
        <v>27.458831</v>
      </c>
      <c r="BK28" s="224"/>
      <c r="BL28" s="224"/>
      <c r="BM28" s="224"/>
      <c r="BN28" s="224"/>
      <c r="BO28" s="224"/>
      <c r="BP28" s="224"/>
      <c r="BQ28" s="224"/>
      <c r="BR28" s="224"/>
      <c r="BS28" s="224"/>
      <c r="BT28" s="224"/>
      <c r="BU28" s="224"/>
      <c r="BV28" s="224"/>
      <c r="BW28" s="224"/>
      <c r="BX28" s="224"/>
      <c r="BY28" s="224"/>
      <c r="BZ28" s="224"/>
      <c r="CA28" s="224"/>
      <c r="CB28" s="224"/>
      <c r="CC28" s="224"/>
      <c r="CD28" s="226">
        <v>27.458831</v>
      </c>
    </row>
    <row r="29" spans="1:82" x14ac:dyDescent="0.3">
      <c r="A29" s="221" t="str">
        <f t="shared" si="2"/>
        <v>ADDDiscoveryCenters of Research Excellence in Science &amp; Technology (CREST)Total</v>
      </c>
      <c r="B29" s="6" t="s">
        <v>81</v>
      </c>
      <c r="C29" s="6" t="s">
        <v>82</v>
      </c>
      <c r="D29" s="224" t="s">
        <v>101</v>
      </c>
      <c r="E29" s="6" t="s">
        <v>24</v>
      </c>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5">
        <v>26.009938999999999</v>
      </c>
      <c r="BO29" s="224"/>
      <c r="BP29" s="225">
        <v>26.009938999999999</v>
      </c>
      <c r="BQ29" s="225">
        <v>26.009938999999999</v>
      </c>
      <c r="BR29" s="224"/>
      <c r="BS29" s="224"/>
      <c r="BT29" s="224"/>
      <c r="BU29" s="224"/>
      <c r="BV29" s="224"/>
      <c r="BW29" s="224"/>
      <c r="BX29" s="224"/>
      <c r="BY29" s="224"/>
      <c r="BZ29" s="224"/>
      <c r="CA29" s="224"/>
      <c r="CB29" s="224"/>
      <c r="CC29" s="224"/>
      <c r="CD29" s="226">
        <v>26.009938999999999</v>
      </c>
    </row>
    <row r="30" spans="1:82" x14ac:dyDescent="0.3">
      <c r="A30" s="221" t="str">
        <f t="shared" si="2"/>
        <v>ADDDiscoveryConvergence Accelerator ResearchTotal</v>
      </c>
      <c r="B30" s="6" t="s">
        <v>81</v>
      </c>
      <c r="C30" s="6" t="s">
        <v>82</v>
      </c>
      <c r="D30" s="224" t="s">
        <v>102</v>
      </c>
      <c r="E30" s="6" t="s">
        <v>24</v>
      </c>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5">
        <v>62.121954000000002</v>
      </c>
      <c r="AX30" s="224"/>
      <c r="AY30" s="224"/>
      <c r="AZ30" s="225">
        <v>62.121954000000002</v>
      </c>
      <c r="BA30" s="224"/>
      <c r="BB30" s="224"/>
      <c r="BC30" s="224"/>
      <c r="BD30" s="224"/>
      <c r="BE30" s="224"/>
      <c r="BF30" s="224"/>
      <c r="BG30" s="224"/>
      <c r="BH30" s="224"/>
      <c r="BI30" s="224"/>
      <c r="BJ30" s="225">
        <v>62.121954000000002</v>
      </c>
      <c r="BK30" s="224"/>
      <c r="BL30" s="224"/>
      <c r="BM30" s="224"/>
      <c r="BN30" s="224"/>
      <c r="BO30" s="224"/>
      <c r="BP30" s="224"/>
      <c r="BQ30" s="224"/>
      <c r="BR30" s="224"/>
      <c r="BS30" s="224"/>
      <c r="BT30" s="224"/>
      <c r="BU30" s="224"/>
      <c r="BV30" s="224"/>
      <c r="BW30" s="224"/>
      <c r="BX30" s="224"/>
      <c r="BY30" s="224"/>
      <c r="BZ30" s="224"/>
      <c r="CA30" s="224"/>
      <c r="CB30" s="224"/>
      <c r="CC30" s="224"/>
      <c r="CD30" s="226">
        <v>62.121954000000002</v>
      </c>
    </row>
    <row r="31" spans="1:82" x14ac:dyDescent="0.3">
      <c r="A31" s="221" t="str">
        <f t="shared" si="2"/>
        <v>ADDDiscoveryDisciplinary &amp; Interdisciplinary ResearchTotal</v>
      </c>
      <c r="B31" s="6" t="s">
        <v>81</v>
      </c>
      <c r="C31" s="6" t="s">
        <v>82</v>
      </c>
      <c r="D31" s="224" t="s">
        <v>103</v>
      </c>
      <c r="E31" s="6" t="s">
        <v>24</v>
      </c>
      <c r="F31" s="225">
        <v>8.7298220000000004</v>
      </c>
      <c r="G31" s="225">
        <v>123.660141</v>
      </c>
      <c r="H31" s="225">
        <v>43.012084000000002</v>
      </c>
      <c r="I31" s="225">
        <v>151.47889000000001</v>
      </c>
      <c r="J31" s="225">
        <v>126.821781</v>
      </c>
      <c r="K31" s="224"/>
      <c r="L31" s="225">
        <v>453.702718</v>
      </c>
      <c r="M31" s="225">
        <v>157.25354899999999</v>
      </c>
      <c r="N31" s="225">
        <v>167.042968</v>
      </c>
      <c r="O31" s="225">
        <v>139.98075</v>
      </c>
      <c r="P31" s="225">
        <v>57.564664</v>
      </c>
      <c r="Q31" s="225">
        <v>63.067604000000003</v>
      </c>
      <c r="R31" s="224"/>
      <c r="S31" s="225">
        <v>584.90953500000001</v>
      </c>
      <c r="T31" s="225">
        <v>145.02682999999999</v>
      </c>
      <c r="U31" s="225">
        <v>155.16064700000001</v>
      </c>
      <c r="V31" s="225">
        <v>86.245258000000007</v>
      </c>
      <c r="W31" s="225">
        <v>27.100932</v>
      </c>
      <c r="X31" s="225">
        <v>44.106279999999998</v>
      </c>
      <c r="Y31" s="225">
        <v>2.2044999999999999E-2</v>
      </c>
      <c r="Z31" s="224"/>
      <c r="AA31" s="225">
        <v>457.661992</v>
      </c>
      <c r="AB31" s="225">
        <v>123.08006</v>
      </c>
      <c r="AC31" s="225">
        <v>112.43478899999999</v>
      </c>
      <c r="AD31" s="225">
        <v>149.66949199999999</v>
      </c>
      <c r="AE31" s="225">
        <v>95.550147999999993</v>
      </c>
      <c r="AF31" s="225">
        <v>84.146490999999997</v>
      </c>
      <c r="AG31" s="224"/>
      <c r="AH31" s="225">
        <v>564.88098000000002</v>
      </c>
      <c r="AI31" s="225">
        <v>54.746198</v>
      </c>
      <c r="AJ31" s="225">
        <v>196.59718599999999</v>
      </c>
      <c r="AK31" s="225">
        <v>140.35649000000001</v>
      </c>
      <c r="AL31" s="225">
        <v>214.88324499999999</v>
      </c>
      <c r="AM31" s="225">
        <v>53.941906000000003</v>
      </c>
      <c r="AN31" s="225">
        <v>189.58687</v>
      </c>
      <c r="AO31" s="224"/>
      <c r="AP31" s="225">
        <v>850.111895</v>
      </c>
      <c r="AQ31" s="225">
        <v>81.138608000000005</v>
      </c>
      <c r="AR31" s="225">
        <v>0.37</v>
      </c>
      <c r="AS31" s="225">
        <v>14.952999999999999</v>
      </c>
      <c r="AT31" s="225">
        <v>72.835914000000002</v>
      </c>
      <c r="AU31" s="224"/>
      <c r="AV31" s="225">
        <v>169.29752199999999</v>
      </c>
      <c r="AW31" s="225">
        <v>8.8551909999999996</v>
      </c>
      <c r="AX31" s="225">
        <v>24.099050999999999</v>
      </c>
      <c r="AY31" s="224"/>
      <c r="AZ31" s="225">
        <v>32.954242000000001</v>
      </c>
      <c r="BA31" s="225">
        <v>44.464627</v>
      </c>
      <c r="BB31" s="225">
        <v>44.464627</v>
      </c>
      <c r="BC31" s="224"/>
      <c r="BD31" s="224"/>
      <c r="BE31" s="224"/>
      <c r="BF31" s="225">
        <v>1.66</v>
      </c>
      <c r="BG31" s="225">
        <v>1.66</v>
      </c>
      <c r="BH31" s="224"/>
      <c r="BI31" s="224"/>
      <c r="BJ31" s="225">
        <v>3159.6435110000002</v>
      </c>
      <c r="BK31" s="225">
        <v>19.108325000000001</v>
      </c>
      <c r="BL31" s="225">
        <v>30.324974000000001</v>
      </c>
      <c r="BM31" s="225">
        <v>15.851343</v>
      </c>
      <c r="BN31" s="225">
        <v>15.60219</v>
      </c>
      <c r="BO31" s="224"/>
      <c r="BP31" s="225">
        <v>80.886831999999998</v>
      </c>
      <c r="BQ31" s="225">
        <v>80.886831999999998</v>
      </c>
      <c r="BR31" s="224"/>
      <c r="BS31" s="224"/>
      <c r="BT31" s="224"/>
      <c r="BU31" s="224"/>
      <c r="BV31" s="224"/>
      <c r="BW31" s="224"/>
      <c r="BX31" s="224"/>
      <c r="BY31" s="224"/>
      <c r="BZ31" s="224"/>
      <c r="CA31" s="224"/>
      <c r="CB31" s="224"/>
      <c r="CC31" s="224"/>
      <c r="CD31" s="226">
        <v>3240.5303429999999</v>
      </c>
    </row>
    <row r="32" spans="1:82" x14ac:dyDescent="0.3">
      <c r="A32" s="221" t="str">
        <f t="shared" si="2"/>
        <v>ADDDiscoveryDiscovery Research PreK-12 (DRK-12)Total</v>
      </c>
      <c r="B32" s="6" t="s">
        <v>81</v>
      </c>
      <c r="C32" s="6" t="s">
        <v>82</v>
      </c>
      <c r="D32" s="224" t="s">
        <v>104</v>
      </c>
      <c r="E32" s="6" t="s">
        <v>24</v>
      </c>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5">
        <v>98.498244999999997</v>
      </c>
      <c r="BM32" s="224"/>
      <c r="BN32" s="224"/>
      <c r="BO32" s="224"/>
      <c r="BP32" s="225">
        <v>98.498244999999997</v>
      </c>
      <c r="BQ32" s="225">
        <v>98.498244999999997</v>
      </c>
      <c r="BR32" s="224"/>
      <c r="BS32" s="224"/>
      <c r="BT32" s="224"/>
      <c r="BU32" s="224"/>
      <c r="BV32" s="224"/>
      <c r="BW32" s="224"/>
      <c r="BX32" s="224"/>
      <c r="BY32" s="224"/>
      <c r="BZ32" s="224"/>
      <c r="CA32" s="224"/>
      <c r="CB32" s="224"/>
      <c r="CC32" s="224"/>
      <c r="CD32" s="226">
        <v>98.498244999999997</v>
      </c>
    </row>
    <row r="33" spans="1:82" x14ac:dyDescent="0.3">
      <c r="A33" s="221" t="str">
        <f t="shared" si="2"/>
        <v>ADDDiscoveryDiscovery Stewardship OffsetTotal</v>
      </c>
      <c r="B33" s="6" t="s">
        <v>81</v>
      </c>
      <c r="C33" s="6" t="s">
        <v>82</v>
      </c>
      <c r="D33" s="224" t="s">
        <v>105</v>
      </c>
      <c r="E33" s="6" t="s">
        <v>24</v>
      </c>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5">
        <v>-3.6659099999999998</v>
      </c>
      <c r="BD33" s="225">
        <v>-0.95335400000000003</v>
      </c>
      <c r="BE33" s="225">
        <v>-4.6192640000000003</v>
      </c>
      <c r="BF33" s="224"/>
      <c r="BG33" s="224"/>
      <c r="BH33" s="224"/>
      <c r="BI33" s="224"/>
      <c r="BJ33" s="225">
        <v>-4.6192640000000003</v>
      </c>
      <c r="BK33" s="225">
        <v>-0.28136899999999998</v>
      </c>
      <c r="BL33" s="225">
        <v>-5.0727859999999998</v>
      </c>
      <c r="BM33" s="225">
        <v>-2.4138500000000001</v>
      </c>
      <c r="BN33" s="225">
        <v>-2.8720880000000002</v>
      </c>
      <c r="BO33" s="225">
        <v>0</v>
      </c>
      <c r="BP33" s="225">
        <v>-10.640093</v>
      </c>
      <c r="BQ33" s="225">
        <v>-10.640093</v>
      </c>
      <c r="BR33" s="224"/>
      <c r="BS33" s="224"/>
      <c r="BT33" s="224"/>
      <c r="BU33" s="224"/>
      <c r="BV33" s="224"/>
      <c r="BW33" s="224"/>
      <c r="BX33" s="224"/>
      <c r="BY33" s="224"/>
      <c r="BZ33" s="224"/>
      <c r="CA33" s="224"/>
      <c r="CB33" s="224"/>
      <c r="CC33" s="224"/>
      <c r="CD33" s="226">
        <v>-15.259357</v>
      </c>
    </row>
    <row r="34" spans="1:82" x14ac:dyDescent="0.3">
      <c r="A34" s="221" t="str">
        <f t="shared" si="2"/>
        <v>ADDDiscoveryEngineering Research Centers (ERC)Total</v>
      </c>
      <c r="B34" s="6" t="s">
        <v>81</v>
      </c>
      <c r="C34" s="6" t="s">
        <v>82</v>
      </c>
      <c r="D34" s="224" t="s">
        <v>106</v>
      </c>
      <c r="E34" s="6" t="s">
        <v>24</v>
      </c>
      <c r="F34" s="224"/>
      <c r="G34" s="224"/>
      <c r="H34" s="224"/>
      <c r="I34" s="224"/>
      <c r="J34" s="224"/>
      <c r="K34" s="224"/>
      <c r="L34" s="224"/>
      <c r="M34" s="224"/>
      <c r="N34" s="224"/>
      <c r="O34" s="224"/>
      <c r="P34" s="224"/>
      <c r="Q34" s="224"/>
      <c r="R34" s="224"/>
      <c r="S34" s="224"/>
      <c r="T34" s="224"/>
      <c r="U34" s="224"/>
      <c r="V34" s="224"/>
      <c r="W34" s="225">
        <v>70.473239000000007</v>
      </c>
      <c r="X34" s="224"/>
      <c r="Y34" s="224"/>
      <c r="Z34" s="224"/>
      <c r="AA34" s="225">
        <v>70.473239000000007</v>
      </c>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5">
        <v>70.473239000000007</v>
      </c>
      <c r="BK34" s="224"/>
      <c r="BL34" s="224"/>
      <c r="BM34" s="224"/>
      <c r="BN34" s="224"/>
      <c r="BO34" s="224"/>
      <c r="BP34" s="224"/>
      <c r="BQ34" s="224"/>
      <c r="BR34" s="224"/>
      <c r="BS34" s="224"/>
      <c r="BT34" s="224"/>
      <c r="BU34" s="224"/>
      <c r="BV34" s="224"/>
      <c r="BW34" s="224"/>
      <c r="BX34" s="224"/>
      <c r="BY34" s="224"/>
      <c r="BZ34" s="224"/>
      <c r="CA34" s="224"/>
      <c r="CB34" s="224"/>
      <c r="CC34" s="224"/>
      <c r="CD34" s="226">
        <v>70.473239000000007</v>
      </c>
    </row>
    <row r="35" spans="1:82" x14ac:dyDescent="0.3">
      <c r="A35" s="221" t="str">
        <f t="shared" si="2"/>
        <v>ADDDiscoveryEPSCoRTotal</v>
      </c>
      <c r="B35" s="6" t="s">
        <v>81</v>
      </c>
      <c r="C35" s="6" t="s">
        <v>82</v>
      </c>
      <c r="D35" s="224" t="s">
        <v>14</v>
      </c>
      <c r="E35" s="6" t="s">
        <v>24</v>
      </c>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5">
        <v>215.05887000000001</v>
      </c>
      <c r="BD35" s="225">
        <v>0</v>
      </c>
      <c r="BE35" s="225">
        <v>215.05887000000001</v>
      </c>
      <c r="BF35" s="224"/>
      <c r="BG35" s="224"/>
      <c r="BH35" s="224"/>
      <c r="BI35" s="224"/>
      <c r="BJ35" s="225">
        <v>215.05887000000001</v>
      </c>
      <c r="BK35" s="224"/>
      <c r="BL35" s="224"/>
      <c r="BM35" s="224"/>
      <c r="BN35" s="224"/>
      <c r="BO35" s="224"/>
      <c r="BP35" s="224"/>
      <c r="BQ35" s="224"/>
      <c r="BR35" s="224"/>
      <c r="BS35" s="224"/>
      <c r="BT35" s="224"/>
      <c r="BU35" s="224"/>
      <c r="BV35" s="224"/>
      <c r="BW35" s="224"/>
      <c r="BX35" s="224"/>
      <c r="BY35" s="224"/>
      <c r="BZ35" s="224"/>
      <c r="CA35" s="224"/>
      <c r="CB35" s="224"/>
      <c r="CC35" s="224"/>
      <c r="CD35" s="226">
        <v>215.05887000000001</v>
      </c>
    </row>
    <row r="36" spans="1:82" x14ac:dyDescent="0.3">
      <c r="A36" s="221" t="str">
        <f t="shared" si="2"/>
        <v>ADDDiscoveryEPSCoREPSCoR Co-Funding</v>
      </c>
      <c r="B36" s="6" t="s">
        <v>81</v>
      </c>
      <c r="C36" s="6" t="s">
        <v>82</v>
      </c>
      <c r="D36" s="224" t="s">
        <v>14</v>
      </c>
      <c r="E36" s="224" t="s">
        <v>107</v>
      </c>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5">
        <v>52.121518000000002</v>
      </c>
      <c r="BD36" s="225">
        <v>0</v>
      </c>
      <c r="BE36" s="225">
        <v>52.121518000000002</v>
      </c>
      <c r="BF36" s="224"/>
      <c r="BG36" s="224"/>
      <c r="BH36" s="224"/>
      <c r="BI36" s="224"/>
      <c r="BJ36" s="225">
        <v>52.121518000000002</v>
      </c>
      <c r="BK36" s="224"/>
      <c r="BL36" s="224"/>
      <c r="BM36" s="224"/>
      <c r="BN36" s="224"/>
      <c r="BO36" s="224"/>
      <c r="BP36" s="224"/>
      <c r="BQ36" s="224"/>
      <c r="BR36" s="224"/>
      <c r="BS36" s="224"/>
      <c r="BT36" s="224"/>
      <c r="BU36" s="224"/>
      <c r="BV36" s="224"/>
      <c r="BW36" s="224"/>
      <c r="BX36" s="224"/>
      <c r="BY36" s="224"/>
      <c r="BZ36" s="224"/>
      <c r="CA36" s="224"/>
      <c r="CB36" s="224"/>
      <c r="CC36" s="224"/>
      <c r="CD36" s="226">
        <v>52.121518000000002</v>
      </c>
    </row>
    <row r="37" spans="1:82" x14ac:dyDescent="0.3">
      <c r="A37" s="221" t="str">
        <f t="shared" si="2"/>
        <v>ADDDiscoveryEPSCoREPSCoR Outreach</v>
      </c>
      <c r="B37" s="6" t="s">
        <v>81</v>
      </c>
      <c r="C37" s="6" t="s">
        <v>82</v>
      </c>
      <c r="D37" s="224" t="s">
        <v>14</v>
      </c>
      <c r="E37" s="224" t="s">
        <v>108</v>
      </c>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5">
        <v>0.11217100000000001</v>
      </c>
      <c r="BD37" s="225">
        <v>0</v>
      </c>
      <c r="BE37" s="225">
        <v>0.11217100000000001</v>
      </c>
      <c r="BF37" s="224"/>
      <c r="BG37" s="224"/>
      <c r="BH37" s="224"/>
      <c r="BI37" s="224"/>
      <c r="BJ37" s="225">
        <v>0.11217100000000001</v>
      </c>
      <c r="BK37" s="224"/>
      <c r="BL37" s="224"/>
      <c r="BM37" s="224"/>
      <c r="BN37" s="224"/>
      <c r="BO37" s="224"/>
      <c r="BP37" s="224"/>
      <c r="BQ37" s="224"/>
      <c r="BR37" s="224"/>
      <c r="BS37" s="224"/>
      <c r="BT37" s="224"/>
      <c r="BU37" s="224"/>
      <c r="BV37" s="224"/>
      <c r="BW37" s="224"/>
      <c r="BX37" s="224"/>
      <c r="BY37" s="224"/>
      <c r="BZ37" s="224"/>
      <c r="CA37" s="224"/>
      <c r="CB37" s="224"/>
      <c r="CC37" s="224"/>
      <c r="CD37" s="226">
        <v>0.11217100000000001</v>
      </c>
    </row>
    <row r="38" spans="1:82" x14ac:dyDescent="0.3">
      <c r="A38" s="221" t="str">
        <f t="shared" si="2"/>
        <v>ADDDiscoveryEPSCoREPSCoR Research Infrastructure Improvement (RII)</v>
      </c>
      <c r="B38" s="6" t="s">
        <v>81</v>
      </c>
      <c r="C38" s="6" t="s">
        <v>82</v>
      </c>
      <c r="D38" s="224" t="s">
        <v>14</v>
      </c>
      <c r="E38" s="224" t="s">
        <v>109</v>
      </c>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5">
        <v>162.82518099999999</v>
      </c>
      <c r="BD38" s="225">
        <v>0</v>
      </c>
      <c r="BE38" s="225">
        <v>162.82518099999999</v>
      </c>
      <c r="BF38" s="224"/>
      <c r="BG38" s="224"/>
      <c r="BH38" s="224"/>
      <c r="BI38" s="224"/>
      <c r="BJ38" s="225">
        <v>162.82518099999999</v>
      </c>
      <c r="BK38" s="224"/>
      <c r="BL38" s="224"/>
      <c r="BM38" s="224"/>
      <c r="BN38" s="224"/>
      <c r="BO38" s="224"/>
      <c r="BP38" s="224"/>
      <c r="BQ38" s="224"/>
      <c r="BR38" s="224"/>
      <c r="BS38" s="224"/>
      <c r="BT38" s="224"/>
      <c r="BU38" s="224"/>
      <c r="BV38" s="224"/>
      <c r="BW38" s="224"/>
      <c r="BX38" s="224"/>
      <c r="BY38" s="224"/>
      <c r="BZ38" s="224"/>
      <c r="CA38" s="224"/>
      <c r="CB38" s="224"/>
      <c r="CC38" s="224"/>
      <c r="CD38" s="226">
        <v>162.82518099999999</v>
      </c>
    </row>
    <row r="39" spans="1:82" x14ac:dyDescent="0.3">
      <c r="A39" s="221" t="str">
        <f t="shared" si="2"/>
        <v>ADDDiscoveryHBCU Excellence in ResearchTotal</v>
      </c>
      <c r="B39" s="6" t="s">
        <v>81</v>
      </c>
      <c r="C39" s="6" t="s">
        <v>82</v>
      </c>
      <c r="D39" s="224" t="s">
        <v>110</v>
      </c>
      <c r="E39" s="6" t="s">
        <v>24</v>
      </c>
      <c r="F39" s="225">
        <v>0</v>
      </c>
      <c r="G39" s="224"/>
      <c r="H39" s="225">
        <v>0</v>
      </c>
      <c r="I39" s="224"/>
      <c r="J39" s="225">
        <v>0.2</v>
      </c>
      <c r="K39" s="224"/>
      <c r="L39" s="225">
        <v>0.2</v>
      </c>
      <c r="M39" s="224"/>
      <c r="N39" s="224"/>
      <c r="O39" s="224"/>
      <c r="P39" s="224"/>
      <c r="Q39" s="224"/>
      <c r="R39" s="224"/>
      <c r="S39" s="224"/>
      <c r="T39" s="224"/>
      <c r="U39" s="224"/>
      <c r="V39" s="224"/>
      <c r="W39" s="224"/>
      <c r="X39" s="224"/>
      <c r="Y39" s="224"/>
      <c r="Z39" s="224"/>
      <c r="AA39" s="224"/>
      <c r="AB39" s="225">
        <v>5.5982999999999998E-2</v>
      </c>
      <c r="AC39" s="224"/>
      <c r="AD39" s="224"/>
      <c r="AE39" s="225">
        <v>0</v>
      </c>
      <c r="AF39" s="224"/>
      <c r="AG39" s="224"/>
      <c r="AH39" s="225">
        <v>5.5982999999999998E-2</v>
      </c>
      <c r="AI39" s="224"/>
      <c r="AJ39" s="224"/>
      <c r="AK39" s="224"/>
      <c r="AL39" s="224"/>
      <c r="AM39" s="225">
        <v>0</v>
      </c>
      <c r="AN39" s="224"/>
      <c r="AO39" s="224"/>
      <c r="AP39" s="225">
        <v>0</v>
      </c>
      <c r="AQ39" s="224"/>
      <c r="AR39" s="224"/>
      <c r="AS39" s="225">
        <v>0</v>
      </c>
      <c r="AT39" s="224"/>
      <c r="AU39" s="224"/>
      <c r="AV39" s="225">
        <v>0</v>
      </c>
      <c r="AW39" s="224"/>
      <c r="AX39" s="224"/>
      <c r="AY39" s="224"/>
      <c r="AZ39" s="224"/>
      <c r="BA39" s="224"/>
      <c r="BB39" s="224"/>
      <c r="BC39" s="224"/>
      <c r="BD39" s="225">
        <v>18.521591000000001</v>
      </c>
      <c r="BE39" s="225">
        <v>18.521591000000001</v>
      </c>
      <c r="BF39" s="224"/>
      <c r="BG39" s="224"/>
      <c r="BH39" s="224"/>
      <c r="BI39" s="224"/>
      <c r="BJ39" s="225">
        <v>18.777574000000001</v>
      </c>
      <c r="BK39" s="224"/>
      <c r="BL39" s="224"/>
      <c r="BM39" s="224"/>
      <c r="BN39" s="224"/>
      <c r="BO39" s="224"/>
      <c r="BP39" s="224"/>
      <c r="BQ39" s="224"/>
      <c r="BR39" s="224"/>
      <c r="BS39" s="224"/>
      <c r="BT39" s="224"/>
      <c r="BU39" s="224"/>
      <c r="BV39" s="224"/>
      <c r="BW39" s="224"/>
      <c r="BX39" s="224"/>
      <c r="BY39" s="224"/>
      <c r="BZ39" s="224"/>
      <c r="CA39" s="224"/>
      <c r="CB39" s="224"/>
      <c r="CC39" s="224"/>
      <c r="CD39" s="226">
        <v>18.777574000000001</v>
      </c>
    </row>
    <row r="40" spans="1:82" x14ac:dyDescent="0.3">
      <c r="A40" s="221" t="str">
        <f t="shared" si="2"/>
        <v>ADDDiscoveryHispanic-Serving Institutions Total</v>
      </c>
      <c r="B40" s="6" t="s">
        <v>81</v>
      </c>
      <c r="C40" s="6" t="s">
        <v>82</v>
      </c>
      <c r="D40" s="224" t="s">
        <v>111</v>
      </c>
      <c r="E40" s="6" t="s">
        <v>24</v>
      </c>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5">
        <v>24.245331</v>
      </c>
      <c r="BN40" s="225">
        <v>24.256466</v>
      </c>
      <c r="BO40" s="224"/>
      <c r="BP40" s="225">
        <v>48.501797000000003</v>
      </c>
      <c r="BQ40" s="225">
        <v>48.501797000000003</v>
      </c>
      <c r="BR40" s="224"/>
      <c r="BS40" s="224"/>
      <c r="BT40" s="224"/>
      <c r="BU40" s="224"/>
      <c r="BV40" s="224"/>
      <c r="BW40" s="224"/>
      <c r="BX40" s="224"/>
      <c r="BY40" s="224"/>
      <c r="BZ40" s="224"/>
      <c r="CA40" s="224"/>
      <c r="CB40" s="224"/>
      <c r="CC40" s="224"/>
      <c r="CD40" s="226">
        <v>48.501797000000003</v>
      </c>
    </row>
    <row r="41" spans="1:82" x14ac:dyDescent="0.3">
      <c r="A41" s="221" t="str">
        <f t="shared" si="2"/>
        <v>ADDDiscoveryHistorically Black Colleges &amp; Universities Undergraduate Program (HBCU-UP)Total</v>
      </c>
      <c r="B41" s="6" t="s">
        <v>81</v>
      </c>
      <c r="C41" s="6" t="s">
        <v>82</v>
      </c>
      <c r="D41" s="224" t="s">
        <v>112</v>
      </c>
      <c r="E41" s="6" t="s">
        <v>24</v>
      </c>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5">
        <v>38.014525999999996</v>
      </c>
      <c r="BO41" s="224"/>
      <c r="BP41" s="225">
        <v>38.014525999999996</v>
      </c>
      <c r="BQ41" s="225">
        <v>38.014525999999996</v>
      </c>
      <c r="BR41" s="224"/>
      <c r="BS41" s="224"/>
      <c r="BT41" s="224"/>
      <c r="BU41" s="224"/>
      <c r="BV41" s="224"/>
      <c r="BW41" s="224"/>
      <c r="BX41" s="224"/>
      <c r="BY41" s="224"/>
      <c r="BZ41" s="224"/>
      <c r="CA41" s="224"/>
      <c r="CB41" s="224"/>
      <c r="CC41" s="224"/>
      <c r="CD41" s="226">
        <v>38.014525999999996</v>
      </c>
    </row>
    <row r="42" spans="1:82" x14ac:dyDescent="0.3">
      <c r="A42" s="221" t="str">
        <f t="shared" si="2"/>
        <v>ADDDiscoveryImproving Undergraduate STEM Education (IUSE)Total</v>
      </c>
      <c r="B42" s="6" t="s">
        <v>81</v>
      </c>
      <c r="C42" s="6" t="s">
        <v>82</v>
      </c>
      <c r="D42" s="224" t="s">
        <v>113</v>
      </c>
      <c r="E42" s="6" t="s">
        <v>24</v>
      </c>
      <c r="F42" s="225">
        <v>2.1223809999999999</v>
      </c>
      <c r="G42" s="224"/>
      <c r="H42" s="224"/>
      <c r="I42" s="224"/>
      <c r="J42" s="224"/>
      <c r="K42" s="224"/>
      <c r="L42" s="225">
        <v>2.1223809999999999</v>
      </c>
      <c r="M42" s="224"/>
      <c r="N42" s="225">
        <v>0.57189100000000004</v>
      </c>
      <c r="O42" s="224"/>
      <c r="P42" s="224"/>
      <c r="Q42" s="224"/>
      <c r="R42" s="224"/>
      <c r="S42" s="225">
        <v>0.57189100000000004</v>
      </c>
      <c r="T42" s="225">
        <v>0</v>
      </c>
      <c r="U42" s="225">
        <v>0</v>
      </c>
      <c r="V42" s="225">
        <v>0</v>
      </c>
      <c r="W42" s="224"/>
      <c r="X42" s="224"/>
      <c r="Y42" s="225">
        <v>0</v>
      </c>
      <c r="Z42" s="224"/>
      <c r="AA42" s="225">
        <v>0</v>
      </c>
      <c r="AB42" s="224"/>
      <c r="AC42" s="224"/>
      <c r="AD42" s="224"/>
      <c r="AE42" s="225">
        <v>0</v>
      </c>
      <c r="AF42" s="225">
        <v>0</v>
      </c>
      <c r="AG42" s="224"/>
      <c r="AH42" s="225">
        <v>0</v>
      </c>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5">
        <v>2.6942719999999998</v>
      </c>
      <c r="BK42" s="224"/>
      <c r="BL42" s="224"/>
      <c r="BM42" s="225">
        <v>93.483013999999997</v>
      </c>
      <c r="BN42" s="224"/>
      <c r="BO42" s="224"/>
      <c r="BP42" s="225">
        <v>93.483013999999997</v>
      </c>
      <c r="BQ42" s="225">
        <v>93.483013999999997</v>
      </c>
      <c r="BR42" s="224"/>
      <c r="BS42" s="224"/>
      <c r="BT42" s="224"/>
      <c r="BU42" s="224"/>
      <c r="BV42" s="224"/>
      <c r="BW42" s="224"/>
      <c r="BX42" s="224"/>
      <c r="BY42" s="224"/>
      <c r="BZ42" s="224"/>
      <c r="CA42" s="224"/>
      <c r="CB42" s="224"/>
      <c r="CC42" s="224"/>
      <c r="CD42" s="226">
        <v>96.177285999999995</v>
      </c>
    </row>
    <row r="43" spans="1:82" x14ac:dyDescent="0.3">
      <c r="A43" s="221" t="str">
        <f t="shared" si="2"/>
        <v>ADDDiscoveryIndustry/University Cooperative Research Centers (I/UCRC)Total</v>
      </c>
      <c r="B43" s="6" t="s">
        <v>81</v>
      </c>
      <c r="C43" s="6" t="s">
        <v>82</v>
      </c>
      <c r="D43" s="224" t="s">
        <v>114</v>
      </c>
      <c r="E43" s="6" t="s">
        <v>24</v>
      </c>
      <c r="F43" s="224"/>
      <c r="G43" s="224"/>
      <c r="H43" s="224"/>
      <c r="I43" s="224"/>
      <c r="J43" s="225">
        <v>0.26249899999999998</v>
      </c>
      <c r="K43" s="224"/>
      <c r="L43" s="225">
        <v>0.26249899999999998</v>
      </c>
      <c r="M43" s="224"/>
      <c r="N43" s="225">
        <v>0.84933099999999995</v>
      </c>
      <c r="O43" s="224"/>
      <c r="P43" s="225">
        <v>8</v>
      </c>
      <c r="Q43" s="224"/>
      <c r="R43" s="224"/>
      <c r="S43" s="225">
        <v>8.8493309999999994</v>
      </c>
      <c r="T43" s="224"/>
      <c r="U43" s="224"/>
      <c r="V43" s="224"/>
      <c r="W43" s="225">
        <v>12.127561999999999</v>
      </c>
      <c r="X43" s="224"/>
      <c r="Y43" s="225">
        <v>0</v>
      </c>
      <c r="Z43" s="224"/>
      <c r="AA43" s="225">
        <v>12.127561999999999</v>
      </c>
      <c r="AB43" s="224"/>
      <c r="AC43" s="224"/>
      <c r="AD43" s="224"/>
      <c r="AE43" s="224"/>
      <c r="AF43" s="225">
        <v>1.4946010000000001</v>
      </c>
      <c r="AG43" s="224"/>
      <c r="AH43" s="225">
        <v>1.4946010000000001</v>
      </c>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5">
        <v>22.733993000000002</v>
      </c>
      <c r="BK43" s="224"/>
      <c r="BL43" s="224"/>
      <c r="BM43" s="224"/>
      <c r="BN43" s="224"/>
      <c r="BO43" s="224"/>
      <c r="BP43" s="224"/>
      <c r="BQ43" s="224"/>
      <c r="BR43" s="224"/>
      <c r="BS43" s="224"/>
      <c r="BT43" s="224"/>
      <c r="BU43" s="224"/>
      <c r="BV43" s="224"/>
      <c r="BW43" s="224"/>
      <c r="BX43" s="224"/>
      <c r="BY43" s="224"/>
      <c r="BZ43" s="224"/>
      <c r="CA43" s="224"/>
      <c r="CB43" s="224"/>
      <c r="CC43" s="224"/>
      <c r="CD43" s="226">
        <v>22.733993000000002</v>
      </c>
    </row>
    <row r="44" spans="1:82" x14ac:dyDescent="0.3">
      <c r="A44" s="221" t="str">
        <f t="shared" si="2"/>
        <v>ADDDiscoveryLong-Term Ecological Research (LTER)Total</v>
      </c>
      <c r="B44" s="6" t="s">
        <v>81</v>
      </c>
      <c r="C44" s="6" t="s">
        <v>82</v>
      </c>
      <c r="D44" s="224" t="s">
        <v>115</v>
      </c>
      <c r="E44" s="6" t="s">
        <v>24</v>
      </c>
      <c r="F44" s="224"/>
      <c r="G44" s="225">
        <v>20.884315000000001</v>
      </c>
      <c r="H44" s="224"/>
      <c r="I44" s="224"/>
      <c r="J44" s="224"/>
      <c r="K44" s="224"/>
      <c r="L44" s="225">
        <v>20.884315000000001</v>
      </c>
      <c r="M44" s="224"/>
      <c r="N44" s="224"/>
      <c r="O44" s="224"/>
      <c r="P44" s="224"/>
      <c r="Q44" s="224"/>
      <c r="R44" s="224"/>
      <c r="S44" s="224"/>
      <c r="T44" s="224"/>
      <c r="U44" s="224"/>
      <c r="V44" s="224"/>
      <c r="W44" s="224"/>
      <c r="X44" s="224"/>
      <c r="Y44" s="224"/>
      <c r="Z44" s="224"/>
      <c r="AA44" s="224"/>
      <c r="AB44" s="224"/>
      <c r="AC44" s="224"/>
      <c r="AD44" s="225">
        <v>8.144209</v>
      </c>
      <c r="AE44" s="225">
        <v>1.051636</v>
      </c>
      <c r="AF44" s="224"/>
      <c r="AG44" s="224"/>
      <c r="AH44" s="225">
        <v>9.1958450000000003</v>
      </c>
      <c r="AI44" s="224"/>
      <c r="AJ44" s="224"/>
      <c r="AK44" s="224"/>
      <c r="AL44" s="224"/>
      <c r="AM44" s="224"/>
      <c r="AN44" s="224"/>
      <c r="AO44" s="224"/>
      <c r="AP44" s="224"/>
      <c r="AQ44" s="225">
        <v>0.26474999999999999</v>
      </c>
      <c r="AR44" s="224"/>
      <c r="AS44" s="224"/>
      <c r="AT44" s="224"/>
      <c r="AU44" s="224"/>
      <c r="AV44" s="225">
        <v>0.26474999999999999</v>
      </c>
      <c r="AW44" s="224"/>
      <c r="AX44" s="224"/>
      <c r="AY44" s="224"/>
      <c r="AZ44" s="224"/>
      <c r="BA44" s="224"/>
      <c r="BB44" s="224"/>
      <c r="BC44" s="224"/>
      <c r="BD44" s="224"/>
      <c r="BE44" s="224"/>
      <c r="BF44" s="224"/>
      <c r="BG44" s="224"/>
      <c r="BH44" s="224"/>
      <c r="BI44" s="224"/>
      <c r="BJ44" s="225">
        <v>30.344909999999999</v>
      </c>
      <c r="BK44" s="224"/>
      <c r="BL44" s="224"/>
      <c r="BM44" s="224"/>
      <c r="BN44" s="224"/>
      <c r="BO44" s="224"/>
      <c r="BP44" s="224"/>
      <c r="BQ44" s="224"/>
      <c r="BR44" s="224"/>
      <c r="BS44" s="224"/>
      <c r="BT44" s="224"/>
      <c r="BU44" s="224"/>
      <c r="BV44" s="224"/>
      <c r="BW44" s="224"/>
      <c r="BX44" s="224"/>
      <c r="BY44" s="224"/>
      <c r="BZ44" s="224"/>
      <c r="CA44" s="224"/>
      <c r="CB44" s="224"/>
      <c r="CC44" s="224"/>
      <c r="CD44" s="226">
        <v>30.344909999999999</v>
      </c>
    </row>
    <row r="45" spans="1:82" x14ac:dyDescent="0.3">
      <c r="A45" s="221" t="str">
        <f t="shared" si="2"/>
        <v>ADDDiscoveryMaterials CentersTotal</v>
      </c>
      <c r="B45" s="6" t="s">
        <v>81</v>
      </c>
      <c r="C45" s="6" t="s">
        <v>82</v>
      </c>
      <c r="D45" s="224" t="s">
        <v>116</v>
      </c>
      <c r="E45" s="6" t="s">
        <v>24</v>
      </c>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5">
        <v>53.27</v>
      </c>
      <c r="AL45" s="224"/>
      <c r="AM45" s="224"/>
      <c r="AN45" s="224"/>
      <c r="AO45" s="224"/>
      <c r="AP45" s="225">
        <v>53.27</v>
      </c>
      <c r="AQ45" s="224"/>
      <c r="AR45" s="224"/>
      <c r="AS45" s="224"/>
      <c r="AT45" s="224"/>
      <c r="AU45" s="224"/>
      <c r="AV45" s="224"/>
      <c r="AW45" s="224"/>
      <c r="AX45" s="224"/>
      <c r="AY45" s="224"/>
      <c r="AZ45" s="224"/>
      <c r="BA45" s="224"/>
      <c r="BB45" s="224"/>
      <c r="BC45" s="224"/>
      <c r="BD45" s="224"/>
      <c r="BE45" s="224"/>
      <c r="BF45" s="224"/>
      <c r="BG45" s="224"/>
      <c r="BH45" s="224"/>
      <c r="BI45" s="224"/>
      <c r="BJ45" s="225">
        <v>53.27</v>
      </c>
      <c r="BK45" s="224"/>
      <c r="BL45" s="224"/>
      <c r="BM45" s="224"/>
      <c r="BN45" s="224"/>
      <c r="BO45" s="224"/>
      <c r="BP45" s="224"/>
      <c r="BQ45" s="224"/>
      <c r="BR45" s="224"/>
      <c r="BS45" s="224"/>
      <c r="BT45" s="224"/>
      <c r="BU45" s="224"/>
      <c r="BV45" s="224"/>
      <c r="BW45" s="224"/>
      <c r="BX45" s="224"/>
      <c r="BY45" s="224"/>
      <c r="BZ45" s="224"/>
      <c r="CA45" s="224"/>
      <c r="CB45" s="224"/>
      <c r="CC45" s="224"/>
      <c r="CD45" s="226">
        <v>53.27</v>
      </c>
    </row>
    <row r="46" spans="1:82" x14ac:dyDescent="0.3">
      <c r="A46" s="221" t="str">
        <f t="shared" si="2"/>
        <v>ADDDiscoveryNational Center for Wireless Spectrum Research (SII-Center)Total</v>
      </c>
      <c r="B46" s="6" t="s">
        <v>81</v>
      </c>
      <c r="C46" s="6" t="s">
        <v>82</v>
      </c>
      <c r="D46" s="224" t="s">
        <v>117</v>
      </c>
      <c r="E46" s="6" t="s">
        <v>24</v>
      </c>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5">
        <v>5.7500049999999998</v>
      </c>
      <c r="AN46" s="224"/>
      <c r="AO46" s="224"/>
      <c r="AP46" s="225">
        <v>5.7500049999999998</v>
      </c>
      <c r="AQ46" s="224"/>
      <c r="AR46" s="224"/>
      <c r="AS46" s="224"/>
      <c r="AT46" s="224"/>
      <c r="AU46" s="224"/>
      <c r="AV46" s="224"/>
      <c r="AW46" s="224"/>
      <c r="AX46" s="224"/>
      <c r="AY46" s="224"/>
      <c r="AZ46" s="224"/>
      <c r="BA46" s="224"/>
      <c r="BB46" s="224"/>
      <c r="BC46" s="224"/>
      <c r="BD46" s="224"/>
      <c r="BE46" s="224"/>
      <c r="BF46" s="224"/>
      <c r="BG46" s="224"/>
      <c r="BH46" s="224"/>
      <c r="BI46" s="224"/>
      <c r="BJ46" s="225">
        <v>5.7500049999999998</v>
      </c>
      <c r="BK46" s="224"/>
      <c r="BL46" s="224"/>
      <c r="BM46" s="224"/>
      <c r="BN46" s="224"/>
      <c r="BO46" s="224"/>
      <c r="BP46" s="224"/>
      <c r="BQ46" s="224"/>
      <c r="BR46" s="224"/>
      <c r="BS46" s="224"/>
      <c r="BT46" s="224"/>
      <c r="BU46" s="224"/>
      <c r="BV46" s="224"/>
      <c r="BW46" s="224"/>
      <c r="BX46" s="224"/>
      <c r="BY46" s="224"/>
      <c r="BZ46" s="224"/>
      <c r="CA46" s="224"/>
      <c r="CB46" s="224"/>
      <c r="CC46" s="224"/>
      <c r="CD46" s="226">
        <v>5.7500049999999998</v>
      </c>
    </row>
    <row r="47" spans="1:82" x14ac:dyDescent="0.3">
      <c r="A47" s="221" t="str">
        <f t="shared" si="2"/>
        <v>ADDDiscoveryNational Coordinating Office for NITRD (NCO)Total</v>
      </c>
      <c r="B47" s="6" t="s">
        <v>81</v>
      </c>
      <c r="C47" s="6" t="s">
        <v>82</v>
      </c>
      <c r="D47" s="224" t="s">
        <v>118</v>
      </c>
      <c r="E47" s="6" t="s">
        <v>24</v>
      </c>
      <c r="F47" s="224"/>
      <c r="G47" s="224"/>
      <c r="H47" s="224"/>
      <c r="I47" s="224"/>
      <c r="J47" s="224"/>
      <c r="K47" s="224"/>
      <c r="L47" s="224"/>
      <c r="M47" s="224"/>
      <c r="N47" s="224"/>
      <c r="O47" s="224"/>
      <c r="P47" s="225">
        <v>0.38712099999999999</v>
      </c>
      <c r="Q47" s="224"/>
      <c r="R47" s="224"/>
      <c r="S47" s="225">
        <v>0.38712099999999999</v>
      </c>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5">
        <v>0.38712099999999999</v>
      </c>
      <c r="BK47" s="224"/>
      <c r="BL47" s="224"/>
      <c r="BM47" s="224"/>
      <c r="BN47" s="224"/>
      <c r="BO47" s="224"/>
      <c r="BP47" s="224"/>
      <c r="BQ47" s="224"/>
      <c r="BR47" s="224"/>
      <c r="BS47" s="224"/>
      <c r="BT47" s="224"/>
      <c r="BU47" s="224"/>
      <c r="BV47" s="224"/>
      <c r="BW47" s="224"/>
      <c r="BX47" s="224"/>
      <c r="BY47" s="224"/>
      <c r="BZ47" s="224"/>
      <c r="CA47" s="224"/>
      <c r="CB47" s="224"/>
      <c r="CC47" s="224"/>
      <c r="CD47" s="226">
        <v>0.38712099999999999</v>
      </c>
    </row>
    <row r="48" spans="1:82" x14ac:dyDescent="0.3">
      <c r="A48" s="221" t="str">
        <f t="shared" si="2"/>
        <v>ADDDiscoveryNational Nanotechnology Coordinating Office (NNCO)Total</v>
      </c>
      <c r="B48" s="6" t="s">
        <v>81</v>
      </c>
      <c r="C48" s="6" t="s">
        <v>82</v>
      </c>
      <c r="D48" s="224" t="s">
        <v>119</v>
      </c>
      <c r="E48" s="6" t="s">
        <v>24</v>
      </c>
      <c r="F48" s="224"/>
      <c r="G48" s="224"/>
      <c r="H48" s="225">
        <v>4.8404000000000003E-2</v>
      </c>
      <c r="I48" s="224"/>
      <c r="J48" s="224"/>
      <c r="K48" s="224"/>
      <c r="L48" s="225">
        <v>4.8404000000000003E-2</v>
      </c>
      <c r="M48" s="224"/>
      <c r="N48" s="224"/>
      <c r="O48" s="224"/>
      <c r="P48" s="225">
        <v>1.7174999999999999E-2</v>
      </c>
      <c r="Q48" s="224"/>
      <c r="R48" s="224"/>
      <c r="S48" s="225">
        <v>1.7174999999999999E-2</v>
      </c>
      <c r="T48" s="224"/>
      <c r="U48" s="224"/>
      <c r="V48" s="224"/>
      <c r="W48" s="224"/>
      <c r="X48" s="225">
        <v>0.23161000000000001</v>
      </c>
      <c r="Y48" s="224"/>
      <c r="Z48" s="224"/>
      <c r="AA48" s="225">
        <v>0.23161000000000001</v>
      </c>
      <c r="AB48" s="224"/>
      <c r="AC48" s="224"/>
      <c r="AD48" s="224"/>
      <c r="AE48" s="224"/>
      <c r="AF48" s="225">
        <v>0</v>
      </c>
      <c r="AG48" s="224"/>
      <c r="AH48" s="225">
        <v>0</v>
      </c>
      <c r="AI48" s="224"/>
      <c r="AJ48" s="224"/>
      <c r="AK48" s="224"/>
      <c r="AL48" s="224"/>
      <c r="AM48" s="225">
        <v>0.22328200000000001</v>
      </c>
      <c r="AN48" s="224"/>
      <c r="AO48" s="224"/>
      <c r="AP48" s="225">
        <v>0.22328200000000001</v>
      </c>
      <c r="AQ48" s="224"/>
      <c r="AR48" s="224"/>
      <c r="AS48" s="224"/>
      <c r="AT48" s="224"/>
      <c r="AU48" s="224"/>
      <c r="AV48" s="224"/>
      <c r="AW48" s="224"/>
      <c r="AX48" s="224"/>
      <c r="AY48" s="224"/>
      <c r="AZ48" s="224"/>
      <c r="BA48" s="225">
        <v>0</v>
      </c>
      <c r="BB48" s="225">
        <v>0</v>
      </c>
      <c r="BC48" s="224"/>
      <c r="BD48" s="224"/>
      <c r="BE48" s="224"/>
      <c r="BF48" s="224"/>
      <c r="BG48" s="224"/>
      <c r="BH48" s="224"/>
      <c r="BI48" s="224"/>
      <c r="BJ48" s="225">
        <v>0.52047100000000002</v>
      </c>
      <c r="BK48" s="224"/>
      <c r="BL48" s="224"/>
      <c r="BM48" s="224"/>
      <c r="BN48" s="224"/>
      <c r="BO48" s="224"/>
      <c r="BP48" s="224"/>
      <c r="BQ48" s="224"/>
      <c r="BR48" s="224"/>
      <c r="BS48" s="224"/>
      <c r="BT48" s="224"/>
      <c r="BU48" s="224"/>
      <c r="BV48" s="224"/>
      <c r="BW48" s="224"/>
      <c r="BX48" s="224"/>
      <c r="BY48" s="224"/>
      <c r="BZ48" s="224"/>
      <c r="CA48" s="224"/>
      <c r="CB48" s="224"/>
      <c r="CC48" s="224"/>
      <c r="CD48" s="226">
        <v>0.52047100000000002</v>
      </c>
    </row>
    <row r="49" spans="1:82" x14ac:dyDescent="0.3">
      <c r="A49" s="221" t="str">
        <f t="shared" si="2"/>
        <v>ADDDiscoveryNSF Innovation Corps (I-Corps)Total</v>
      </c>
      <c r="B49" s="6" t="s">
        <v>81</v>
      </c>
      <c r="C49" s="6" t="s">
        <v>82</v>
      </c>
      <c r="D49" s="224" t="s">
        <v>120</v>
      </c>
      <c r="E49" s="6" t="s">
        <v>24</v>
      </c>
      <c r="F49" s="224"/>
      <c r="G49" s="224"/>
      <c r="H49" s="225">
        <v>0</v>
      </c>
      <c r="I49" s="224"/>
      <c r="J49" s="224"/>
      <c r="K49" s="224"/>
      <c r="L49" s="225">
        <v>0</v>
      </c>
      <c r="M49" s="224"/>
      <c r="N49" s="224"/>
      <c r="O49" s="224"/>
      <c r="P49" s="224"/>
      <c r="Q49" s="224"/>
      <c r="R49" s="224"/>
      <c r="S49" s="224"/>
      <c r="T49" s="224"/>
      <c r="U49" s="224"/>
      <c r="V49" s="224"/>
      <c r="W49" s="224"/>
      <c r="X49" s="224"/>
      <c r="Y49" s="225">
        <v>0</v>
      </c>
      <c r="Z49" s="224"/>
      <c r="AA49" s="225">
        <v>0</v>
      </c>
      <c r="AB49" s="224"/>
      <c r="AC49" s="224"/>
      <c r="AD49" s="224"/>
      <c r="AE49" s="225">
        <v>0</v>
      </c>
      <c r="AF49" s="225">
        <v>0</v>
      </c>
      <c r="AG49" s="224"/>
      <c r="AH49" s="225">
        <v>0</v>
      </c>
      <c r="AI49" s="224"/>
      <c r="AJ49" s="224"/>
      <c r="AK49" s="224"/>
      <c r="AL49" s="225">
        <v>0</v>
      </c>
      <c r="AM49" s="225">
        <v>0</v>
      </c>
      <c r="AN49" s="224"/>
      <c r="AO49" s="224"/>
      <c r="AP49" s="225">
        <v>0</v>
      </c>
      <c r="AQ49" s="224"/>
      <c r="AR49" s="224"/>
      <c r="AS49" s="225">
        <v>0</v>
      </c>
      <c r="AT49" s="224"/>
      <c r="AU49" s="224"/>
      <c r="AV49" s="225">
        <v>0</v>
      </c>
      <c r="AW49" s="224"/>
      <c r="AX49" s="225">
        <v>39.933520000000001</v>
      </c>
      <c r="AY49" s="224"/>
      <c r="AZ49" s="225">
        <v>39.933520000000001</v>
      </c>
      <c r="BA49" s="224"/>
      <c r="BB49" s="224"/>
      <c r="BC49" s="224"/>
      <c r="BD49" s="224"/>
      <c r="BE49" s="224"/>
      <c r="BF49" s="224"/>
      <c r="BG49" s="224"/>
      <c r="BH49" s="224"/>
      <c r="BI49" s="224"/>
      <c r="BJ49" s="225">
        <v>39.933520000000001</v>
      </c>
      <c r="BK49" s="225">
        <v>0</v>
      </c>
      <c r="BL49" s="224"/>
      <c r="BM49" s="225">
        <v>0</v>
      </c>
      <c r="BN49" s="224"/>
      <c r="BO49" s="224"/>
      <c r="BP49" s="225">
        <v>0</v>
      </c>
      <c r="BQ49" s="225">
        <v>0</v>
      </c>
      <c r="BR49" s="224"/>
      <c r="BS49" s="224"/>
      <c r="BT49" s="224"/>
      <c r="BU49" s="224"/>
      <c r="BV49" s="224"/>
      <c r="BW49" s="224"/>
      <c r="BX49" s="224"/>
      <c r="BY49" s="224"/>
      <c r="BZ49" s="224"/>
      <c r="CA49" s="224"/>
      <c r="CB49" s="224"/>
      <c r="CC49" s="224"/>
      <c r="CD49" s="226">
        <v>39.933520000000001</v>
      </c>
    </row>
    <row r="50" spans="1:82" x14ac:dyDescent="0.3">
      <c r="A50" s="221" t="str">
        <f t="shared" si="2"/>
        <v>ADDDiscoveryNSF Regional Innovation Engines (NSF Engines)Total</v>
      </c>
      <c r="B50" s="6" t="s">
        <v>81</v>
      </c>
      <c r="C50" s="6" t="s">
        <v>82</v>
      </c>
      <c r="D50" s="224" t="s">
        <v>121</v>
      </c>
      <c r="E50" s="6" t="s">
        <v>24</v>
      </c>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5">
        <v>0.71250899999999995</v>
      </c>
      <c r="AX50" s="224"/>
      <c r="AY50" s="224"/>
      <c r="AZ50" s="225">
        <v>0.71250899999999995</v>
      </c>
      <c r="BA50" s="224"/>
      <c r="BB50" s="224"/>
      <c r="BC50" s="224"/>
      <c r="BD50" s="224"/>
      <c r="BE50" s="224"/>
      <c r="BF50" s="224"/>
      <c r="BG50" s="224"/>
      <c r="BH50" s="224"/>
      <c r="BI50" s="224"/>
      <c r="BJ50" s="225">
        <v>0.71250899999999995</v>
      </c>
      <c r="BK50" s="224"/>
      <c r="BL50" s="224"/>
      <c r="BM50" s="224"/>
      <c r="BN50" s="224"/>
      <c r="BO50" s="224"/>
      <c r="BP50" s="224"/>
      <c r="BQ50" s="224"/>
      <c r="BR50" s="224"/>
      <c r="BS50" s="224"/>
      <c r="BT50" s="224"/>
      <c r="BU50" s="224"/>
      <c r="BV50" s="224"/>
      <c r="BW50" s="224"/>
      <c r="BX50" s="224"/>
      <c r="BY50" s="224"/>
      <c r="BZ50" s="224"/>
      <c r="CA50" s="224"/>
      <c r="CB50" s="224"/>
      <c r="CC50" s="224"/>
      <c r="CD50" s="226">
        <v>0.71250899999999995</v>
      </c>
    </row>
    <row r="51" spans="1:82" x14ac:dyDescent="0.3">
      <c r="A51" s="221" t="str">
        <f t="shared" si="2"/>
        <v>ADDDiscoveryPartnerships for Innovation (PFI)Total</v>
      </c>
      <c r="B51" s="6" t="s">
        <v>81</v>
      </c>
      <c r="C51" s="6" t="s">
        <v>82</v>
      </c>
      <c r="D51" s="224" t="s">
        <v>122</v>
      </c>
      <c r="E51" s="6" t="s">
        <v>24</v>
      </c>
      <c r="F51" s="224"/>
      <c r="G51" s="224"/>
      <c r="H51" s="224"/>
      <c r="I51" s="224"/>
      <c r="J51" s="224"/>
      <c r="K51" s="224"/>
      <c r="L51" s="224"/>
      <c r="M51" s="224"/>
      <c r="N51" s="224"/>
      <c r="O51" s="224"/>
      <c r="P51" s="224"/>
      <c r="Q51" s="224"/>
      <c r="R51" s="224"/>
      <c r="S51" s="224"/>
      <c r="T51" s="224"/>
      <c r="U51" s="224"/>
      <c r="V51" s="224"/>
      <c r="W51" s="224"/>
      <c r="X51" s="224"/>
      <c r="Y51" s="225">
        <v>4.4000000000000003E-3</v>
      </c>
      <c r="Z51" s="224"/>
      <c r="AA51" s="225">
        <v>4.4000000000000003E-3</v>
      </c>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5">
        <v>30.036799999999999</v>
      </c>
      <c r="AY51" s="224"/>
      <c r="AZ51" s="225">
        <v>30.036799999999999</v>
      </c>
      <c r="BA51" s="224"/>
      <c r="BB51" s="224"/>
      <c r="BC51" s="224"/>
      <c r="BD51" s="224"/>
      <c r="BE51" s="224"/>
      <c r="BF51" s="224"/>
      <c r="BG51" s="224"/>
      <c r="BH51" s="224"/>
      <c r="BI51" s="224"/>
      <c r="BJ51" s="225">
        <v>30.0412</v>
      </c>
      <c r="BK51" s="224"/>
      <c r="BL51" s="224"/>
      <c r="BM51" s="224"/>
      <c r="BN51" s="224"/>
      <c r="BO51" s="224"/>
      <c r="BP51" s="224"/>
      <c r="BQ51" s="224"/>
      <c r="BR51" s="224"/>
      <c r="BS51" s="224"/>
      <c r="BT51" s="224"/>
      <c r="BU51" s="224"/>
      <c r="BV51" s="224"/>
      <c r="BW51" s="224"/>
      <c r="BX51" s="224"/>
      <c r="BY51" s="224"/>
      <c r="BZ51" s="224"/>
      <c r="CA51" s="224"/>
      <c r="CB51" s="224"/>
      <c r="CC51" s="224"/>
      <c r="CD51" s="226">
        <v>30.0412</v>
      </c>
    </row>
    <row r="52" spans="1:82" x14ac:dyDescent="0.3">
      <c r="A52" s="221" t="str">
        <f t="shared" si="2"/>
        <v>ADDDiscoveryScience &amp; Technology CentersTotal</v>
      </c>
      <c r="B52" s="6" t="s">
        <v>81</v>
      </c>
      <c r="C52" s="6" t="s">
        <v>82</v>
      </c>
      <c r="D52" s="224" t="s">
        <v>123</v>
      </c>
      <c r="E52" s="6" t="s">
        <v>24</v>
      </c>
      <c r="F52" s="225">
        <v>13.323995999999999</v>
      </c>
      <c r="G52" s="224"/>
      <c r="H52" s="224"/>
      <c r="I52" s="224"/>
      <c r="J52" s="224"/>
      <c r="K52" s="224"/>
      <c r="L52" s="225">
        <v>13.323995999999999</v>
      </c>
      <c r="M52" s="225">
        <v>1.992</v>
      </c>
      <c r="N52" s="224"/>
      <c r="O52" s="225">
        <v>0.66400000000000003</v>
      </c>
      <c r="P52" s="225">
        <v>0.66400000000000003</v>
      </c>
      <c r="Q52" s="224"/>
      <c r="R52" s="224"/>
      <c r="S52" s="225">
        <v>3.32</v>
      </c>
      <c r="T52" s="225">
        <v>4.9998120000000004</v>
      </c>
      <c r="U52" s="225">
        <v>5</v>
      </c>
      <c r="V52" s="225">
        <v>0</v>
      </c>
      <c r="W52" s="224"/>
      <c r="X52" s="224"/>
      <c r="Y52" s="224"/>
      <c r="Z52" s="224"/>
      <c r="AA52" s="225">
        <v>9.9998120000000004</v>
      </c>
      <c r="AB52" s="225">
        <v>0</v>
      </c>
      <c r="AC52" s="224"/>
      <c r="AD52" s="225">
        <v>4.9999989999999999</v>
      </c>
      <c r="AE52" s="225">
        <v>5.0155690000000002</v>
      </c>
      <c r="AF52" s="224"/>
      <c r="AG52" s="224"/>
      <c r="AH52" s="225">
        <v>10.015568</v>
      </c>
      <c r="AI52" s="224"/>
      <c r="AJ52" s="224"/>
      <c r="AK52" s="225">
        <v>13.734931</v>
      </c>
      <c r="AL52" s="224"/>
      <c r="AM52" s="224"/>
      <c r="AN52" s="225">
        <v>5</v>
      </c>
      <c r="AO52" s="224"/>
      <c r="AP52" s="225">
        <v>18.734931</v>
      </c>
      <c r="AQ52" s="224"/>
      <c r="AR52" s="224"/>
      <c r="AS52" s="224"/>
      <c r="AT52" s="224"/>
      <c r="AU52" s="224"/>
      <c r="AV52" s="224"/>
      <c r="AW52" s="224"/>
      <c r="AX52" s="224"/>
      <c r="AY52" s="224"/>
      <c r="AZ52" s="224"/>
      <c r="BA52" s="224"/>
      <c r="BB52" s="224"/>
      <c r="BC52" s="224"/>
      <c r="BD52" s="225">
        <v>0.599692</v>
      </c>
      <c r="BE52" s="225">
        <v>0.599692</v>
      </c>
      <c r="BF52" s="224"/>
      <c r="BG52" s="224"/>
      <c r="BH52" s="224"/>
      <c r="BI52" s="224"/>
      <c r="BJ52" s="225">
        <v>55.993999000000002</v>
      </c>
      <c r="BK52" s="224"/>
      <c r="BL52" s="224"/>
      <c r="BM52" s="224"/>
      <c r="BN52" s="224"/>
      <c r="BO52" s="224"/>
      <c r="BP52" s="224"/>
      <c r="BQ52" s="224"/>
      <c r="BR52" s="224"/>
      <c r="BS52" s="224"/>
      <c r="BT52" s="224"/>
      <c r="BU52" s="224"/>
      <c r="BV52" s="224"/>
      <c r="BW52" s="224"/>
      <c r="BX52" s="224"/>
      <c r="BY52" s="224"/>
      <c r="BZ52" s="224"/>
      <c r="CA52" s="224"/>
      <c r="CB52" s="224"/>
      <c r="CC52" s="224"/>
      <c r="CD52" s="226">
        <v>55.993999000000002</v>
      </c>
    </row>
    <row r="53" spans="1:82" x14ac:dyDescent="0.3">
      <c r="A53" s="221" t="str">
        <f t="shared" si="2"/>
        <v>ADDDiscoveryScience &amp; Technology CentersSTCs - 2010 Class</v>
      </c>
      <c r="B53" s="6" t="s">
        <v>81</v>
      </c>
      <c r="C53" s="6" t="s">
        <v>82</v>
      </c>
      <c r="D53" s="224" t="s">
        <v>123</v>
      </c>
      <c r="E53" s="224" t="s">
        <v>124</v>
      </c>
      <c r="F53" s="225">
        <v>0</v>
      </c>
      <c r="G53" s="224"/>
      <c r="H53" s="224"/>
      <c r="I53" s="224"/>
      <c r="J53" s="224"/>
      <c r="K53" s="224"/>
      <c r="L53" s="225">
        <v>0</v>
      </c>
      <c r="M53" s="224"/>
      <c r="N53" s="224"/>
      <c r="O53" s="224"/>
      <c r="P53" s="224"/>
      <c r="Q53" s="224"/>
      <c r="R53" s="224"/>
      <c r="S53" s="224"/>
      <c r="T53" s="225">
        <v>0</v>
      </c>
      <c r="U53" s="224"/>
      <c r="V53" s="225">
        <v>0</v>
      </c>
      <c r="W53" s="224"/>
      <c r="X53" s="224"/>
      <c r="Y53" s="224"/>
      <c r="Z53" s="224"/>
      <c r="AA53" s="225">
        <v>0</v>
      </c>
      <c r="AB53" s="224"/>
      <c r="AC53" s="224"/>
      <c r="AD53" s="225">
        <v>0</v>
      </c>
      <c r="AE53" s="224"/>
      <c r="AF53" s="224"/>
      <c r="AG53" s="224"/>
      <c r="AH53" s="225">
        <v>0</v>
      </c>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5">
        <v>0</v>
      </c>
      <c r="BK53" s="224"/>
      <c r="BL53" s="224"/>
      <c r="BM53" s="224"/>
      <c r="BN53" s="224"/>
      <c r="BO53" s="224"/>
      <c r="BP53" s="224"/>
      <c r="BQ53" s="224"/>
      <c r="BR53" s="224"/>
      <c r="BS53" s="224"/>
      <c r="BT53" s="224"/>
      <c r="BU53" s="224"/>
      <c r="BV53" s="224"/>
      <c r="BW53" s="224"/>
      <c r="BX53" s="224"/>
      <c r="BY53" s="224"/>
      <c r="BZ53" s="224"/>
      <c r="CA53" s="224"/>
      <c r="CB53" s="224"/>
      <c r="CC53" s="224"/>
      <c r="CD53" s="226">
        <v>0</v>
      </c>
    </row>
    <row r="54" spans="1:82" x14ac:dyDescent="0.3">
      <c r="A54" s="221" t="str">
        <f t="shared" si="2"/>
        <v>ADDDiscoveryScience &amp; Technology CentersSTCs - 2013 Class</v>
      </c>
      <c r="B54" s="6" t="s">
        <v>81</v>
      </c>
      <c r="C54" s="6" t="s">
        <v>82</v>
      </c>
      <c r="D54" s="224" t="s">
        <v>123</v>
      </c>
      <c r="E54" s="224" t="s">
        <v>125</v>
      </c>
      <c r="F54" s="225">
        <v>3.3239969999999999</v>
      </c>
      <c r="G54" s="224"/>
      <c r="H54" s="224"/>
      <c r="I54" s="224"/>
      <c r="J54" s="224"/>
      <c r="K54" s="224"/>
      <c r="L54" s="225">
        <v>3.3239969999999999</v>
      </c>
      <c r="M54" s="225">
        <v>1.992</v>
      </c>
      <c r="N54" s="224"/>
      <c r="O54" s="225">
        <v>0.66400000000000003</v>
      </c>
      <c r="P54" s="225">
        <v>0.66400000000000003</v>
      </c>
      <c r="Q54" s="224"/>
      <c r="R54" s="224"/>
      <c r="S54" s="225">
        <v>3.32</v>
      </c>
      <c r="T54" s="224"/>
      <c r="U54" s="224"/>
      <c r="V54" s="224"/>
      <c r="W54" s="224"/>
      <c r="X54" s="224"/>
      <c r="Y54" s="224"/>
      <c r="Z54" s="224"/>
      <c r="AA54" s="224"/>
      <c r="AB54" s="224"/>
      <c r="AC54" s="224"/>
      <c r="AD54" s="224"/>
      <c r="AE54" s="224"/>
      <c r="AF54" s="224"/>
      <c r="AG54" s="224"/>
      <c r="AH54" s="224"/>
      <c r="AI54" s="224"/>
      <c r="AJ54" s="224"/>
      <c r="AK54" s="225">
        <v>3.734931</v>
      </c>
      <c r="AL54" s="224"/>
      <c r="AM54" s="224"/>
      <c r="AN54" s="224"/>
      <c r="AO54" s="224"/>
      <c r="AP54" s="225">
        <v>3.734931</v>
      </c>
      <c r="AQ54" s="224"/>
      <c r="AR54" s="224"/>
      <c r="AS54" s="224"/>
      <c r="AT54" s="224"/>
      <c r="AU54" s="224"/>
      <c r="AV54" s="224"/>
      <c r="AW54" s="224"/>
      <c r="AX54" s="224"/>
      <c r="AY54" s="224"/>
      <c r="AZ54" s="224"/>
      <c r="BA54" s="224"/>
      <c r="BB54" s="224"/>
      <c r="BC54" s="224"/>
      <c r="BD54" s="225">
        <v>0</v>
      </c>
      <c r="BE54" s="225">
        <v>0</v>
      </c>
      <c r="BF54" s="224"/>
      <c r="BG54" s="224"/>
      <c r="BH54" s="224"/>
      <c r="BI54" s="224"/>
      <c r="BJ54" s="225">
        <v>10.378928</v>
      </c>
      <c r="BK54" s="224"/>
      <c r="BL54" s="224"/>
      <c r="BM54" s="224"/>
      <c r="BN54" s="224"/>
      <c r="BO54" s="224"/>
      <c r="BP54" s="224"/>
      <c r="BQ54" s="224"/>
      <c r="BR54" s="224"/>
      <c r="BS54" s="224"/>
      <c r="BT54" s="224"/>
      <c r="BU54" s="224"/>
      <c r="BV54" s="224"/>
      <c r="BW54" s="224"/>
      <c r="BX54" s="224"/>
      <c r="BY54" s="224"/>
      <c r="BZ54" s="224"/>
      <c r="CA54" s="224"/>
      <c r="CB54" s="224"/>
      <c r="CC54" s="224"/>
      <c r="CD54" s="226">
        <v>10.378928</v>
      </c>
    </row>
    <row r="55" spans="1:82" x14ac:dyDescent="0.3">
      <c r="A55" s="221" t="str">
        <f t="shared" si="2"/>
        <v>ADDDiscoveryScience &amp; Technology CentersSTCs – 2016 Class</v>
      </c>
      <c r="B55" s="6" t="s">
        <v>81</v>
      </c>
      <c r="C55" s="6" t="s">
        <v>82</v>
      </c>
      <c r="D55" s="224" t="s">
        <v>123</v>
      </c>
      <c r="E55" s="224" t="s">
        <v>126</v>
      </c>
      <c r="F55" s="225">
        <v>4.9999989999999999</v>
      </c>
      <c r="G55" s="224"/>
      <c r="H55" s="224"/>
      <c r="I55" s="224"/>
      <c r="J55" s="224"/>
      <c r="K55" s="224"/>
      <c r="L55" s="225">
        <v>4.9999989999999999</v>
      </c>
      <c r="M55" s="224"/>
      <c r="N55" s="224"/>
      <c r="O55" s="224"/>
      <c r="P55" s="224"/>
      <c r="Q55" s="224"/>
      <c r="R55" s="224"/>
      <c r="S55" s="224"/>
      <c r="T55" s="224"/>
      <c r="U55" s="225">
        <v>5</v>
      </c>
      <c r="V55" s="224"/>
      <c r="W55" s="224"/>
      <c r="X55" s="224"/>
      <c r="Y55" s="224"/>
      <c r="Z55" s="224"/>
      <c r="AA55" s="225">
        <v>5</v>
      </c>
      <c r="AB55" s="224"/>
      <c r="AC55" s="224"/>
      <c r="AD55" s="224"/>
      <c r="AE55" s="224"/>
      <c r="AF55" s="224"/>
      <c r="AG55" s="224"/>
      <c r="AH55" s="224"/>
      <c r="AI55" s="224"/>
      <c r="AJ55" s="224"/>
      <c r="AK55" s="225">
        <v>5</v>
      </c>
      <c r="AL55" s="224"/>
      <c r="AM55" s="224"/>
      <c r="AN55" s="225">
        <v>5</v>
      </c>
      <c r="AO55" s="224"/>
      <c r="AP55" s="225">
        <v>10</v>
      </c>
      <c r="AQ55" s="224"/>
      <c r="AR55" s="224"/>
      <c r="AS55" s="224"/>
      <c r="AT55" s="224"/>
      <c r="AU55" s="224"/>
      <c r="AV55" s="224"/>
      <c r="AW55" s="224"/>
      <c r="AX55" s="224"/>
      <c r="AY55" s="224"/>
      <c r="AZ55" s="224"/>
      <c r="BA55" s="224"/>
      <c r="BB55" s="224"/>
      <c r="BC55" s="224"/>
      <c r="BD55" s="224"/>
      <c r="BE55" s="224"/>
      <c r="BF55" s="224"/>
      <c r="BG55" s="224"/>
      <c r="BH55" s="224"/>
      <c r="BI55" s="224"/>
      <c r="BJ55" s="225">
        <v>19.999998999999999</v>
      </c>
      <c r="BK55" s="224"/>
      <c r="BL55" s="224"/>
      <c r="BM55" s="224"/>
      <c r="BN55" s="224"/>
      <c r="BO55" s="224"/>
      <c r="BP55" s="224"/>
      <c r="BQ55" s="224"/>
      <c r="BR55" s="224"/>
      <c r="BS55" s="224"/>
      <c r="BT55" s="224"/>
      <c r="BU55" s="224"/>
      <c r="BV55" s="224"/>
      <c r="BW55" s="224"/>
      <c r="BX55" s="224"/>
      <c r="BY55" s="224"/>
      <c r="BZ55" s="224"/>
      <c r="CA55" s="224"/>
      <c r="CB55" s="224"/>
      <c r="CC55" s="224"/>
      <c r="CD55" s="226">
        <v>19.999998999999999</v>
      </c>
    </row>
    <row r="56" spans="1:82" x14ac:dyDescent="0.3">
      <c r="A56" s="221" t="str">
        <f t="shared" si="2"/>
        <v>ADDDiscoveryScience &amp; Technology CentersSTCs - 2021 Class</v>
      </c>
      <c r="B56" s="6" t="s">
        <v>81</v>
      </c>
      <c r="C56" s="6" t="s">
        <v>82</v>
      </c>
      <c r="D56" s="224" t="s">
        <v>123</v>
      </c>
      <c r="E56" s="224" t="s">
        <v>127</v>
      </c>
      <c r="F56" s="225">
        <v>5</v>
      </c>
      <c r="G56" s="224"/>
      <c r="H56" s="224"/>
      <c r="I56" s="224"/>
      <c r="J56" s="224"/>
      <c r="K56" s="224"/>
      <c r="L56" s="225">
        <v>5</v>
      </c>
      <c r="M56" s="224"/>
      <c r="N56" s="224"/>
      <c r="O56" s="224"/>
      <c r="P56" s="224"/>
      <c r="Q56" s="224"/>
      <c r="R56" s="224"/>
      <c r="S56" s="224"/>
      <c r="T56" s="225">
        <v>4.9998120000000004</v>
      </c>
      <c r="U56" s="224"/>
      <c r="V56" s="224"/>
      <c r="W56" s="224"/>
      <c r="X56" s="224"/>
      <c r="Y56" s="224"/>
      <c r="Z56" s="224"/>
      <c r="AA56" s="225">
        <v>4.9998120000000004</v>
      </c>
      <c r="AB56" s="225">
        <v>0</v>
      </c>
      <c r="AC56" s="224"/>
      <c r="AD56" s="225">
        <v>4.9999989999999999</v>
      </c>
      <c r="AE56" s="225">
        <v>5.0155690000000002</v>
      </c>
      <c r="AF56" s="224"/>
      <c r="AG56" s="224"/>
      <c r="AH56" s="225">
        <v>10.015568</v>
      </c>
      <c r="AI56" s="224"/>
      <c r="AJ56" s="224"/>
      <c r="AK56" s="225">
        <v>5</v>
      </c>
      <c r="AL56" s="224"/>
      <c r="AM56" s="224"/>
      <c r="AN56" s="224"/>
      <c r="AO56" s="224"/>
      <c r="AP56" s="225">
        <v>5</v>
      </c>
      <c r="AQ56" s="224"/>
      <c r="AR56" s="224"/>
      <c r="AS56" s="224"/>
      <c r="AT56" s="224"/>
      <c r="AU56" s="224"/>
      <c r="AV56" s="224"/>
      <c r="AW56" s="224"/>
      <c r="AX56" s="224"/>
      <c r="AY56" s="224"/>
      <c r="AZ56" s="224"/>
      <c r="BA56" s="224"/>
      <c r="BB56" s="224"/>
      <c r="BC56" s="224"/>
      <c r="BD56" s="225">
        <v>0</v>
      </c>
      <c r="BE56" s="225">
        <v>0</v>
      </c>
      <c r="BF56" s="224"/>
      <c r="BG56" s="224"/>
      <c r="BH56" s="224"/>
      <c r="BI56" s="224"/>
      <c r="BJ56" s="225">
        <v>25.01538</v>
      </c>
      <c r="BK56" s="224"/>
      <c r="BL56" s="224"/>
      <c r="BM56" s="224"/>
      <c r="BN56" s="224"/>
      <c r="BO56" s="224"/>
      <c r="BP56" s="224"/>
      <c r="BQ56" s="224"/>
      <c r="BR56" s="224"/>
      <c r="BS56" s="224"/>
      <c r="BT56" s="224"/>
      <c r="BU56" s="224"/>
      <c r="BV56" s="224"/>
      <c r="BW56" s="224"/>
      <c r="BX56" s="224"/>
      <c r="BY56" s="224"/>
      <c r="BZ56" s="224"/>
      <c r="CA56" s="224"/>
      <c r="CB56" s="224"/>
      <c r="CC56" s="224"/>
      <c r="CD56" s="226">
        <v>25.01538</v>
      </c>
    </row>
    <row r="57" spans="1:82" x14ac:dyDescent="0.3">
      <c r="A57" s="221" t="str">
        <f t="shared" si="2"/>
        <v>ADDDiscoveryScience &amp; Technology CentersSTCs - Administration</v>
      </c>
      <c r="B57" s="6" t="s">
        <v>81</v>
      </c>
      <c r="C57" s="6" t="s">
        <v>82</v>
      </c>
      <c r="D57" s="224" t="s">
        <v>123</v>
      </c>
      <c r="E57" s="224" t="s">
        <v>128</v>
      </c>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4"/>
      <c r="AY57" s="224"/>
      <c r="AZ57" s="224"/>
      <c r="BA57" s="224"/>
      <c r="BB57" s="224"/>
      <c r="BC57" s="224"/>
      <c r="BD57" s="225">
        <v>0.599692</v>
      </c>
      <c r="BE57" s="225">
        <v>0.599692</v>
      </c>
      <c r="BF57" s="224"/>
      <c r="BG57" s="224"/>
      <c r="BH57" s="224"/>
      <c r="BI57" s="224"/>
      <c r="BJ57" s="225">
        <v>0.599692</v>
      </c>
      <c r="BK57" s="224"/>
      <c r="BL57" s="224"/>
      <c r="BM57" s="224"/>
      <c r="BN57" s="224"/>
      <c r="BO57" s="224"/>
      <c r="BP57" s="224"/>
      <c r="BQ57" s="224"/>
      <c r="BR57" s="224"/>
      <c r="BS57" s="224"/>
      <c r="BT57" s="224"/>
      <c r="BU57" s="224"/>
      <c r="BV57" s="224"/>
      <c r="BW57" s="224"/>
      <c r="BX57" s="224"/>
      <c r="BY57" s="224"/>
      <c r="BZ57" s="224"/>
      <c r="CA57" s="224"/>
      <c r="CB57" s="224"/>
      <c r="CC57" s="224"/>
      <c r="CD57" s="226">
        <v>0.599692</v>
      </c>
    </row>
    <row r="58" spans="1:82" x14ac:dyDescent="0.3">
      <c r="A58" s="221" t="str">
        <f t="shared" si="2"/>
        <v>ADDDiscoverySmall Business – SBIR ProgramsTotal</v>
      </c>
      <c r="B58" s="6" t="s">
        <v>81</v>
      </c>
      <c r="C58" s="6" t="s">
        <v>82</v>
      </c>
      <c r="D58" s="224" t="s">
        <v>129</v>
      </c>
      <c r="E58" s="6" t="s">
        <v>24</v>
      </c>
      <c r="F58" s="224"/>
      <c r="G58" s="224"/>
      <c r="H58" s="224"/>
      <c r="I58" s="224"/>
      <c r="J58" s="224"/>
      <c r="K58" s="224"/>
      <c r="L58" s="224"/>
      <c r="M58" s="224"/>
      <c r="N58" s="224"/>
      <c r="O58" s="224"/>
      <c r="P58" s="224"/>
      <c r="Q58" s="224"/>
      <c r="R58" s="224"/>
      <c r="S58" s="224"/>
      <c r="T58" s="224"/>
      <c r="U58" s="224"/>
      <c r="V58" s="224"/>
      <c r="W58" s="224"/>
      <c r="X58" s="224"/>
      <c r="Y58" s="225">
        <v>0</v>
      </c>
      <c r="Z58" s="224"/>
      <c r="AA58" s="225">
        <v>0</v>
      </c>
      <c r="AB58" s="224"/>
      <c r="AC58" s="224"/>
      <c r="AD58" s="224"/>
      <c r="AE58" s="224"/>
      <c r="AF58" s="224"/>
      <c r="AG58" s="224"/>
      <c r="AH58" s="224"/>
      <c r="AI58" s="224"/>
      <c r="AJ58" s="224"/>
      <c r="AK58" s="224"/>
      <c r="AL58" s="224"/>
      <c r="AM58" s="224"/>
      <c r="AN58" s="224"/>
      <c r="AO58" s="224"/>
      <c r="AP58" s="224"/>
      <c r="AQ58" s="224"/>
      <c r="AR58" s="224"/>
      <c r="AS58" s="224"/>
      <c r="AT58" s="224"/>
      <c r="AU58" s="224"/>
      <c r="AV58" s="224"/>
      <c r="AW58" s="224"/>
      <c r="AX58" s="225">
        <v>202.41011700000001</v>
      </c>
      <c r="AY58" s="224"/>
      <c r="AZ58" s="225">
        <v>202.41011700000001</v>
      </c>
      <c r="BA58" s="224"/>
      <c r="BB58" s="224"/>
      <c r="BC58" s="224"/>
      <c r="BD58" s="224"/>
      <c r="BE58" s="224"/>
      <c r="BF58" s="224"/>
      <c r="BG58" s="224"/>
      <c r="BH58" s="224"/>
      <c r="BI58" s="224"/>
      <c r="BJ58" s="225">
        <v>202.41011700000001</v>
      </c>
      <c r="BK58" s="224"/>
      <c r="BL58" s="224"/>
      <c r="BM58" s="224"/>
      <c r="BN58" s="224"/>
      <c r="BO58" s="224"/>
      <c r="BP58" s="224"/>
      <c r="BQ58" s="224"/>
      <c r="BR58" s="224"/>
      <c r="BS58" s="224"/>
      <c r="BT58" s="224"/>
      <c r="BU58" s="224"/>
      <c r="BV58" s="224"/>
      <c r="BW58" s="224"/>
      <c r="BX58" s="224"/>
      <c r="BY58" s="224"/>
      <c r="BZ58" s="224"/>
      <c r="CA58" s="224"/>
      <c r="CB58" s="224"/>
      <c r="CC58" s="224"/>
      <c r="CD58" s="226">
        <v>202.41011700000001</v>
      </c>
    </row>
    <row r="59" spans="1:82" x14ac:dyDescent="0.3">
      <c r="A59" s="221" t="str">
        <f t="shared" si="2"/>
        <v>ADDDiscoverySmall Business – SBIR/STTR OperationsTotal</v>
      </c>
      <c r="B59" s="6" t="s">
        <v>81</v>
      </c>
      <c r="C59" s="6" t="s">
        <v>82</v>
      </c>
      <c r="D59" s="224" t="s">
        <v>130</v>
      </c>
      <c r="E59" s="6" t="s">
        <v>24</v>
      </c>
      <c r="F59" s="224"/>
      <c r="G59" s="224"/>
      <c r="H59" s="224"/>
      <c r="I59" s="224"/>
      <c r="J59" s="224"/>
      <c r="K59" s="224"/>
      <c r="L59" s="224"/>
      <c r="M59" s="224"/>
      <c r="N59" s="224"/>
      <c r="O59" s="224"/>
      <c r="P59" s="224"/>
      <c r="Q59" s="224"/>
      <c r="R59" s="224"/>
      <c r="S59" s="224"/>
      <c r="T59" s="224"/>
      <c r="U59" s="224"/>
      <c r="V59" s="224"/>
      <c r="W59" s="224"/>
      <c r="X59" s="224"/>
      <c r="Y59" s="225">
        <v>0</v>
      </c>
      <c r="Z59" s="224"/>
      <c r="AA59" s="225">
        <v>0</v>
      </c>
      <c r="AB59" s="224"/>
      <c r="AC59" s="224"/>
      <c r="AD59" s="224"/>
      <c r="AE59" s="224"/>
      <c r="AF59" s="224"/>
      <c r="AG59" s="224"/>
      <c r="AH59" s="224"/>
      <c r="AI59" s="224"/>
      <c r="AJ59" s="224"/>
      <c r="AK59" s="224"/>
      <c r="AL59" s="224"/>
      <c r="AM59" s="224"/>
      <c r="AN59" s="224"/>
      <c r="AO59" s="224"/>
      <c r="AP59" s="224"/>
      <c r="AQ59" s="224"/>
      <c r="AR59" s="224"/>
      <c r="AS59" s="224"/>
      <c r="AT59" s="224"/>
      <c r="AU59" s="224"/>
      <c r="AV59" s="224"/>
      <c r="AW59" s="224"/>
      <c r="AX59" s="225">
        <v>4.7885299999999997</v>
      </c>
      <c r="AY59" s="224"/>
      <c r="AZ59" s="225">
        <v>4.7885299999999997</v>
      </c>
      <c r="BA59" s="224"/>
      <c r="BB59" s="224"/>
      <c r="BC59" s="224"/>
      <c r="BD59" s="224"/>
      <c r="BE59" s="224"/>
      <c r="BF59" s="224"/>
      <c r="BG59" s="224"/>
      <c r="BH59" s="224"/>
      <c r="BI59" s="224"/>
      <c r="BJ59" s="225">
        <v>4.7885299999999997</v>
      </c>
      <c r="BK59" s="224"/>
      <c r="BL59" s="224"/>
      <c r="BM59" s="224"/>
      <c r="BN59" s="224"/>
      <c r="BO59" s="224"/>
      <c r="BP59" s="224"/>
      <c r="BQ59" s="224"/>
      <c r="BR59" s="224"/>
      <c r="BS59" s="224"/>
      <c r="BT59" s="224"/>
      <c r="BU59" s="224"/>
      <c r="BV59" s="224"/>
      <c r="BW59" s="224"/>
      <c r="BX59" s="224"/>
      <c r="BY59" s="224"/>
      <c r="BZ59" s="224"/>
      <c r="CA59" s="224"/>
      <c r="CB59" s="224"/>
      <c r="CC59" s="224"/>
      <c r="CD59" s="226">
        <v>4.7885299999999997</v>
      </c>
    </row>
    <row r="60" spans="1:82" x14ac:dyDescent="0.3">
      <c r="A60" s="221" t="str">
        <f t="shared" si="2"/>
        <v>ADDDiscoverySmall Business – STTR ProgramsTotal</v>
      </c>
      <c r="B60" s="6" t="s">
        <v>81</v>
      </c>
      <c r="C60" s="6" t="s">
        <v>82</v>
      </c>
      <c r="D60" s="224" t="s">
        <v>131</v>
      </c>
      <c r="E60" s="6" t="s">
        <v>24</v>
      </c>
      <c r="F60" s="224"/>
      <c r="G60" s="224"/>
      <c r="H60" s="224"/>
      <c r="I60" s="224"/>
      <c r="J60" s="224"/>
      <c r="K60" s="224"/>
      <c r="L60" s="224"/>
      <c r="M60" s="224"/>
      <c r="N60" s="224"/>
      <c r="O60" s="224"/>
      <c r="P60" s="224"/>
      <c r="Q60" s="224"/>
      <c r="R60" s="224"/>
      <c r="S60" s="224"/>
      <c r="T60" s="224"/>
      <c r="U60" s="224"/>
      <c r="V60" s="224"/>
      <c r="W60" s="224"/>
      <c r="X60" s="224"/>
      <c r="Y60" s="225">
        <v>0</v>
      </c>
      <c r="Z60" s="224"/>
      <c r="AA60" s="225">
        <v>0</v>
      </c>
      <c r="AB60" s="224"/>
      <c r="AC60" s="224"/>
      <c r="AD60" s="224"/>
      <c r="AE60" s="224"/>
      <c r="AF60" s="224"/>
      <c r="AG60" s="224"/>
      <c r="AH60" s="224"/>
      <c r="AI60" s="224"/>
      <c r="AJ60" s="224"/>
      <c r="AK60" s="224"/>
      <c r="AL60" s="224"/>
      <c r="AM60" s="224"/>
      <c r="AN60" s="224"/>
      <c r="AO60" s="224"/>
      <c r="AP60" s="224"/>
      <c r="AQ60" s="224"/>
      <c r="AR60" s="224"/>
      <c r="AS60" s="224"/>
      <c r="AT60" s="224"/>
      <c r="AU60" s="224"/>
      <c r="AV60" s="224"/>
      <c r="AW60" s="224"/>
      <c r="AX60" s="225">
        <v>28.479991999999999</v>
      </c>
      <c r="AY60" s="224"/>
      <c r="AZ60" s="225">
        <v>28.479991999999999</v>
      </c>
      <c r="BA60" s="224"/>
      <c r="BB60" s="224"/>
      <c r="BC60" s="224"/>
      <c r="BD60" s="224"/>
      <c r="BE60" s="224"/>
      <c r="BF60" s="224"/>
      <c r="BG60" s="224"/>
      <c r="BH60" s="224"/>
      <c r="BI60" s="224"/>
      <c r="BJ60" s="225">
        <v>28.479991999999999</v>
      </c>
      <c r="BK60" s="224"/>
      <c r="BL60" s="224"/>
      <c r="BM60" s="224"/>
      <c r="BN60" s="224"/>
      <c r="BO60" s="224"/>
      <c r="BP60" s="224"/>
      <c r="BQ60" s="224"/>
      <c r="BR60" s="224"/>
      <c r="BS60" s="224"/>
      <c r="BT60" s="224"/>
      <c r="BU60" s="224"/>
      <c r="BV60" s="224"/>
      <c r="BW60" s="224"/>
      <c r="BX60" s="224"/>
      <c r="BY60" s="224"/>
      <c r="BZ60" s="224"/>
      <c r="CA60" s="224"/>
      <c r="CB60" s="224"/>
      <c r="CC60" s="224"/>
      <c r="CD60" s="226">
        <v>28.479991999999999</v>
      </c>
    </row>
    <row r="61" spans="1:82" x14ac:dyDescent="0.3">
      <c r="A61" s="221" t="str">
        <f t="shared" si="2"/>
        <v>ADDDiscoveryTribal Colleges &amp; Universities Program (TCUP)Total</v>
      </c>
      <c r="B61" s="6" t="s">
        <v>81</v>
      </c>
      <c r="C61" s="6" t="s">
        <v>82</v>
      </c>
      <c r="D61" s="224" t="s">
        <v>132</v>
      </c>
      <c r="E61" s="6" t="s">
        <v>24</v>
      </c>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4"/>
      <c r="BI61" s="224"/>
      <c r="BJ61" s="224"/>
      <c r="BK61" s="224"/>
      <c r="BL61" s="224"/>
      <c r="BM61" s="224"/>
      <c r="BN61" s="225">
        <v>17.503855999999999</v>
      </c>
      <c r="BO61" s="224"/>
      <c r="BP61" s="225">
        <v>17.503855999999999</v>
      </c>
      <c r="BQ61" s="225">
        <v>17.503855999999999</v>
      </c>
      <c r="BR61" s="224"/>
      <c r="BS61" s="224"/>
      <c r="BT61" s="224"/>
      <c r="BU61" s="224"/>
      <c r="BV61" s="224"/>
      <c r="BW61" s="224"/>
      <c r="BX61" s="224"/>
      <c r="BY61" s="224"/>
      <c r="BZ61" s="224"/>
      <c r="CA61" s="224"/>
      <c r="CB61" s="224"/>
      <c r="CC61" s="224"/>
      <c r="CD61" s="226">
        <v>17.503855999999999</v>
      </c>
    </row>
    <row r="62" spans="1:82" x14ac:dyDescent="0.3">
      <c r="A62" s="221" t="str">
        <f t="shared" si="2"/>
        <v>ADDLearningTotalTotal</v>
      </c>
      <c r="B62" s="6" t="s">
        <v>81</v>
      </c>
      <c r="C62" s="6" t="s">
        <v>133</v>
      </c>
      <c r="D62" s="6" t="s">
        <v>24</v>
      </c>
      <c r="E62" s="6" t="s">
        <v>24</v>
      </c>
      <c r="F62" s="225">
        <v>31.823657000000001</v>
      </c>
      <c r="G62" s="225">
        <v>10.262898</v>
      </c>
      <c r="H62" s="225">
        <v>4.5143149999999999</v>
      </c>
      <c r="I62" s="225">
        <v>12.597303999999999</v>
      </c>
      <c r="J62" s="225">
        <v>9.7139150000000001</v>
      </c>
      <c r="K62" s="224"/>
      <c r="L62" s="225">
        <v>68.912088999999995</v>
      </c>
      <c r="M62" s="225">
        <v>9.6127000000000002</v>
      </c>
      <c r="N62" s="225">
        <v>12.336404999999999</v>
      </c>
      <c r="O62" s="225">
        <v>11.182909</v>
      </c>
      <c r="P62" s="225">
        <v>0.86486600000000002</v>
      </c>
      <c r="Q62" s="225">
        <v>22.667684000000001</v>
      </c>
      <c r="R62" s="224"/>
      <c r="S62" s="225">
        <v>56.664563999999999</v>
      </c>
      <c r="T62" s="225">
        <v>1.2978080000000001</v>
      </c>
      <c r="U62" s="225">
        <v>2.7593990000000002</v>
      </c>
      <c r="V62" s="225">
        <v>0.56686599999999998</v>
      </c>
      <c r="W62" s="225">
        <v>16.064717999999999</v>
      </c>
      <c r="X62" s="225">
        <v>5.6462999999999999E-2</v>
      </c>
      <c r="Y62" s="225">
        <v>0</v>
      </c>
      <c r="Z62" s="224"/>
      <c r="AA62" s="225">
        <v>20.745253999999999</v>
      </c>
      <c r="AB62" s="225">
        <v>4.0210030000000003</v>
      </c>
      <c r="AC62" s="225">
        <v>7.2473020000000004</v>
      </c>
      <c r="AD62" s="225">
        <v>11.074693999999999</v>
      </c>
      <c r="AE62" s="225">
        <v>3.7080630000000001</v>
      </c>
      <c r="AF62" s="225">
        <v>6.7251830000000004</v>
      </c>
      <c r="AG62" s="224"/>
      <c r="AH62" s="225">
        <v>32.776245000000003</v>
      </c>
      <c r="AI62" s="225">
        <v>4.173305</v>
      </c>
      <c r="AJ62" s="225">
        <v>3.5477850000000002</v>
      </c>
      <c r="AK62" s="225">
        <v>5.7971370000000002</v>
      </c>
      <c r="AL62" s="225">
        <v>10.736808</v>
      </c>
      <c r="AM62" s="225">
        <v>1.4769760000000001</v>
      </c>
      <c r="AN62" s="225">
        <v>4.0918089999999996</v>
      </c>
      <c r="AO62" s="224"/>
      <c r="AP62" s="225">
        <v>29.823820000000001</v>
      </c>
      <c r="AQ62" s="225">
        <v>0.84978299999999996</v>
      </c>
      <c r="AR62" s="224"/>
      <c r="AS62" s="225">
        <v>6.2813179999999997</v>
      </c>
      <c r="AT62" s="225">
        <v>0.14907699999999999</v>
      </c>
      <c r="AU62" s="224"/>
      <c r="AV62" s="225">
        <v>7.2801780000000003</v>
      </c>
      <c r="AW62" s="224"/>
      <c r="AX62" s="225">
        <v>2.2444540000000002</v>
      </c>
      <c r="AY62" s="224"/>
      <c r="AZ62" s="225">
        <v>2.2444540000000002</v>
      </c>
      <c r="BA62" s="225">
        <v>7.5654450000000004</v>
      </c>
      <c r="BB62" s="225">
        <v>7.5654450000000004</v>
      </c>
      <c r="BC62" s="224"/>
      <c r="BD62" s="225">
        <v>5.3593250000000001</v>
      </c>
      <c r="BE62" s="225">
        <v>5.3593250000000001</v>
      </c>
      <c r="BF62" s="224"/>
      <c r="BG62" s="224"/>
      <c r="BH62" s="224"/>
      <c r="BI62" s="224"/>
      <c r="BJ62" s="225">
        <v>231.371374</v>
      </c>
      <c r="BK62" s="225">
        <v>405.51780500000001</v>
      </c>
      <c r="BL62" s="225">
        <v>9.891114</v>
      </c>
      <c r="BM62" s="225">
        <v>139.01515800000001</v>
      </c>
      <c r="BN62" s="225">
        <v>72.591464999999999</v>
      </c>
      <c r="BO62" s="225">
        <v>0</v>
      </c>
      <c r="BP62" s="225">
        <v>627.01554199999998</v>
      </c>
      <c r="BQ62" s="225">
        <v>627.01554199999998</v>
      </c>
      <c r="BR62" s="224"/>
      <c r="BS62" s="224"/>
      <c r="BT62" s="224"/>
      <c r="BU62" s="224"/>
      <c r="BV62" s="224"/>
      <c r="BW62" s="224"/>
      <c r="BX62" s="224"/>
      <c r="BY62" s="224"/>
      <c r="BZ62" s="224"/>
      <c r="CA62" s="224"/>
      <c r="CB62" s="224"/>
      <c r="CC62" s="224"/>
      <c r="CD62" s="226">
        <v>858.38691600000004</v>
      </c>
    </row>
    <row r="63" spans="1:82" x14ac:dyDescent="0.3">
      <c r="A63" s="221" t="str">
        <f t="shared" si="2"/>
        <v>ADDLearningADVANCETotal</v>
      </c>
      <c r="B63" s="6" t="s">
        <v>81</v>
      </c>
      <c r="C63" s="6" t="s">
        <v>133</v>
      </c>
      <c r="D63" s="224" t="s">
        <v>134</v>
      </c>
      <c r="E63" s="6" t="s">
        <v>24</v>
      </c>
      <c r="F63" s="224"/>
      <c r="G63" s="224"/>
      <c r="H63" s="224"/>
      <c r="I63" s="224"/>
      <c r="J63" s="224"/>
      <c r="K63" s="224"/>
      <c r="L63" s="224"/>
      <c r="M63" s="224"/>
      <c r="N63" s="224"/>
      <c r="O63" s="224"/>
      <c r="P63" s="224"/>
      <c r="Q63" s="224"/>
      <c r="R63" s="224"/>
      <c r="S63" s="224"/>
      <c r="T63" s="225">
        <v>0</v>
      </c>
      <c r="U63" s="225">
        <v>0</v>
      </c>
      <c r="V63" s="224"/>
      <c r="W63" s="224"/>
      <c r="X63" s="225">
        <v>0</v>
      </c>
      <c r="Y63" s="224"/>
      <c r="Z63" s="224"/>
      <c r="AA63" s="225">
        <v>0</v>
      </c>
      <c r="AB63" s="224"/>
      <c r="AC63" s="224"/>
      <c r="AD63" s="224"/>
      <c r="AE63" s="225">
        <v>0</v>
      </c>
      <c r="AF63" s="224"/>
      <c r="AG63" s="224"/>
      <c r="AH63" s="225">
        <v>0</v>
      </c>
      <c r="AI63" s="224"/>
      <c r="AJ63" s="225">
        <v>0</v>
      </c>
      <c r="AK63" s="224"/>
      <c r="AL63" s="224"/>
      <c r="AM63" s="225">
        <v>0</v>
      </c>
      <c r="AN63" s="224"/>
      <c r="AO63" s="224"/>
      <c r="AP63" s="225">
        <v>0</v>
      </c>
      <c r="AQ63" s="225">
        <v>0</v>
      </c>
      <c r="AR63" s="224"/>
      <c r="AS63" s="224"/>
      <c r="AT63" s="225">
        <v>0</v>
      </c>
      <c r="AU63" s="224"/>
      <c r="AV63" s="225">
        <v>0</v>
      </c>
      <c r="AW63" s="224"/>
      <c r="AX63" s="224"/>
      <c r="AY63" s="224"/>
      <c r="AZ63" s="224"/>
      <c r="BA63" s="224"/>
      <c r="BB63" s="224"/>
      <c r="BC63" s="224"/>
      <c r="BD63" s="224"/>
      <c r="BE63" s="224"/>
      <c r="BF63" s="224"/>
      <c r="BG63" s="224"/>
      <c r="BH63" s="224"/>
      <c r="BI63" s="224"/>
      <c r="BJ63" s="225">
        <v>0</v>
      </c>
      <c r="BK63" s="224"/>
      <c r="BL63" s="224"/>
      <c r="BM63" s="224"/>
      <c r="BN63" s="225">
        <v>18.503532</v>
      </c>
      <c r="BO63" s="224"/>
      <c r="BP63" s="225">
        <v>18.503532</v>
      </c>
      <c r="BQ63" s="225">
        <v>18.503532</v>
      </c>
      <c r="BR63" s="224"/>
      <c r="BS63" s="224"/>
      <c r="BT63" s="224"/>
      <c r="BU63" s="224"/>
      <c r="BV63" s="224"/>
      <c r="BW63" s="224"/>
      <c r="BX63" s="224"/>
      <c r="BY63" s="224"/>
      <c r="BZ63" s="224"/>
      <c r="CA63" s="224"/>
      <c r="CB63" s="224"/>
      <c r="CC63" s="224"/>
      <c r="CD63" s="226">
        <v>18.503532</v>
      </c>
    </row>
    <row r="64" spans="1:82" x14ac:dyDescent="0.3">
      <c r="A64" s="221" t="str">
        <f t="shared" si="2"/>
        <v>ADDLearningAdvanced Technological Education (ATE)Total</v>
      </c>
      <c r="B64" s="6" t="s">
        <v>81</v>
      </c>
      <c r="C64" s="6" t="s">
        <v>133</v>
      </c>
      <c r="D64" s="224" t="s">
        <v>135</v>
      </c>
      <c r="E64" s="6" t="s">
        <v>24</v>
      </c>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5">
        <v>74.999488999999997</v>
      </c>
      <c r="BN64" s="224"/>
      <c r="BO64" s="224"/>
      <c r="BP64" s="225">
        <v>74.999488999999997</v>
      </c>
      <c r="BQ64" s="225">
        <v>74.999488999999997</v>
      </c>
      <c r="BR64" s="224"/>
      <c r="BS64" s="224"/>
      <c r="BT64" s="224"/>
      <c r="BU64" s="224"/>
      <c r="BV64" s="224"/>
      <c r="BW64" s="224"/>
      <c r="BX64" s="224"/>
      <c r="BY64" s="224"/>
      <c r="BZ64" s="224"/>
      <c r="CA64" s="224"/>
      <c r="CB64" s="224"/>
      <c r="CC64" s="224"/>
      <c r="CD64" s="226">
        <v>74.999488999999997</v>
      </c>
    </row>
    <row r="65" spans="1:82" x14ac:dyDescent="0.3">
      <c r="A65" s="221" t="str">
        <f t="shared" si="2"/>
        <v>ADDLearningAstronomy &amp; Astrophysics Postdoctoral Fellowships (AAPF)Total</v>
      </c>
      <c r="B65" s="6" t="s">
        <v>81</v>
      </c>
      <c r="C65" s="6" t="s">
        <v>133</v>
      </c>
      <c r="D65" s="224" t="s">
        <v>136</v>
      </c>
      <c r="E65" s="6" t="s">
        <v>24</v>
      </c>
      <c r="F65" s="224"/>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5">
        <v>1.57331</v>
      </c>
      <c r="AJ65" s="224"/>
      <c r="AK65" s="224"/>
      <c r="AL65" s="224"/>
      <c r="AM65" s="224"/>
      <c r="AN65" s="224"/>
      <c r="AO65" s="224"/>
      <c r="AP65" s="225">
        <v>1.57331</v>
      </c>
      <c r="AQ65" s="224"/>
      <c r="AR65" s="224"/>
      <c r="AS65" s="224"/>
      <c r="AT65" s="224"/>
      <c r="AU65" s="224"/>
      <c r="AV65" s="224"/>
      <c r="AW65" s="224"/>
      <c r="AX65" s="224"/>
      <c r="AY65" s="224"/>
      <c r="AZ65" s="224"/>
      <c r="BA65" s="224"/>
      <c r="BB65" s="224"/>
      <c r="BC65" s="224"/>
      <c r="BD65" s="224"/>
      <c r="BE65" s="224"/>
      <c r="BF65" s="224"/>
      <c r="BG65" s="224"/>
      <c r="BH65" s="224"/>
      <c r="BI65" s="224"/>
      <c r="BJ65" s="225">
        <v>1.57331</v>
      </c>
      <c r="BK65" s="224"/>
      <c r="BL65" s="224"/>
      <c r="BM65" s="224"/>
      <c r="BN65" s="224"/>
      <c r="BO65" s="224"/>
      <c r="BP65" s="224"/>
      <c r="BQ65" s="224"/>
      <c r="BR65" s="224"/>
      <c r="BS65" s="224"/>
      <c r="BT65" s="224"/>
      <c r="BU65" s="224"/>
      <c r="BV65" s="224"/>
      <c r="BW65" s="224"/>
      <c r="BX65" s="224"/>
      <c r="BY65" s="224"/>
      <c r="BZ65" s="224"/>
      <c r="CA65" s="224"/>
      <c r="CB65" s="224"/>
      <c r="CC65" s="224"/>
      <c r="CD65" s="226">
        <v>1.57331</v>
      </c>
    </row>
    <row r="66" spans="1:82" x14ac:dyDescent="0.3">
      <c r="A66" s="221" t="str">
        <f t="shared" si="2"/>
        <v>ADDLearningCareer-Life Balance (CLB)Total</v>
      </c>
      <c r="B66" s="6" t="s">
        <v>81</v>
      </c>
      <c r="C66" s="6" t="s">
        <v>133</v>
      </c>
      <c r="D66" s="224" t="s">
        <v>137</v>
      </c>
      <c r="E66" s="6" t="s">
        <v>24</v>
      </c>
      <c r="F66" s="225">
        <v>6.1800000000000001E-2</v>
      </c>
      <c r="G66" s="225">
        <v>0.43143100000000001</v>
      </c>
      <c r="H66" s="224"/>
      <c r="I66" s="225">
        <v>0.16649900000000001</v>
      </c>
      <c r="J66" s="224"/>
      <c r="K66" s="224"/>
      <c r="L66" s="225">
        <v>0.65973000000000004</v>
      </c>
      <c r="M66" s="224"/>
      <c r="N66" s="225">
        <v>6.7195000000000005E-2</v>
      </c>
      <c r="O66" s="225">
        <v>3.2361000000000001E-2</v>
      </c>
      <c r="P66" s="225">
        <v>6.4166000000000001E-2</v>
      </c>
      <c r="Q66" s="224"/>
      <c r="R66" s="224"/>
      <c r="S66" s="225">
        <v>0.16372200000000001</v>
      </c>
      <c r="T66" s="225">
        <v>0.28347699999999998</v>
      </c>
      <c r="U66" s="225">
        <v>0.20344599999999999</v>
      </c>
      <c r="V66" s="224"/>
      <c r="W66" s="224"/>
      <c r="X66" s="225">
        <v>5.6462999999999999E-2</v>
      </c>
      <c r="Y66" s="224"/>
      <c r="Z66" s="224"/>
      <c r="AA66" s="225">
        <v>0.54338600000000004</v>
      </c>
      <c r="AB66" s="225">
        <v>1.1635E-2</v>
      </c>
      <c r="AC66" s="225">
        <v>0.110203</v>
      </c>
      <c r="AD66" s="225">
        <v>0.31135600000000002</v>
      </c>
      <c r="AE66" s="225">
        <v>0</v>
      </c>
      <c r="AF66" s="225">
        <v>2.3036999999999998E-2</v>
      </c>
      <c r="AG66" s="224"/>
      <c r="AH66" s="225">
        <v>0.456231</v>
      </c>
      <c r="AI66" s="224"/>
      <c r="AJ66" s="225">
        <v>1.6886000000000002E-2</v>
      </c>
      <c r="AK66" s="225">
        <v>5.5426999999999997E-2</v>
      </c>
      <c r="AL66" s="224"/>
      <c r="AM66" s="225">
        <v>4.9945000000000003E-2</v>
      </c>
      <c r="AN66" s="224"/>
      <c r="AO66" s="224"/>
      <c r="AP66" s="225">
        <v>0.12225800000000001</v>
      </c>
      <c r="AQ66" s="225">
        <v>9.8899999999999995E-3</v>
      </c>
      <c r="AR66" s="224"/>
      <c r="AS66" s="224"/>
      <c r="AT66" s="225">
        <v>9.757E-3</v>
      </c>
      <c r="AU66" s="224"/>
      <c r="AV66" s="225">
        <v>1.9647000000000001E-2</v>
      </c>
      <c r="AW66" s="224"/>
      <c r="AX66" s="224"/>
      <c r="AY66" s="224"/>
      <c r="AZ66" s="224"/>
      <c r="BA66" s="224"/>
      <c r="BB66" s="224"/>
      <c r="BC66" s="224"/>
      <c r="BD66" s="224"/>
      <c r="BE66" s="224"/>
      <c r="BF66" s="224"/>
      <c r="BG66" s="224"/>
      <c r="BH66" s="224"/>
      <c r="BI66" s="224"/>
      <c r="BJ66" s="225">
        <v>1.964974</v>
      </c>
      <c r="BK66" s="224"/>
      <c r="BL66" s="224"/>
      <c r="BM66" s="225">
        <v>2.0086E-2</v>
      </c>
      <c r="BN66" s="225">
        <v>0</v>
      </c>
      <c r="BO66" s="224"/>
      <c r="BP66" s="225">
        <v>2.0086E-2</v>
      </c>
      <c r="BQ66" s="225">
        <v>2.0086E-2</v>
      </c>
      <c r="BR66" s="224"/>
      <c r="BS66" s="224"/>
      <c r="BT66" s="224"/>
      <c r="BU66" s="224"/>
      <c r="BV66" s="224"/>
      <c r="BW66" s="224"/>
      <c r="BX66" s="224"/>
      <c r="BY66" s="224"/>
      <c r="BZ66" s="224"/>
      <c r="CA66" s="224"/>
      <c r="CB66" s="224"/>
      <c r="CC66" s="224"/>
      <c r="CD66" s="226">
        <v>1.98506</v>
      </c>
    </row>
    <row r="67" spans="1:82" x14ac:dyDescent="0.3">
      <c r="A67" s="221" t="str">
        <f t="shared" si="2"/>
        <v>ADDLearningComputer Science for All (CSforAll)Total</v>
      </c>
      <c r="B67" s="6" t="s">
        <v>81</v>
      </c>
      <c r="C67" s="6" t="s">
        <v>133</v>
      </c>
      <c r="D67" s="224" t="s">
        <v>138</v>
      </c>
      <c r="E67" s="6" t="s">
        <v>24</v>
      </c>
      <c r="F67" s="224"/>
      <c r="G67" s="224"/>
      <c r="H67" s="224"/>
      <c r="I67" s="224"/>
      <c r="J67" s="224"/>
      <c r="K67" s="224"/>
      <c r="L67" s="224"/>
      <c r="M67" s="225">
        <v>4.5</v>
      </c>
      <c r="N67" s="225">
        <v>5.1543700000000001</v>
      </c>
      <c r="O67" s="225">
        <v>4.5</v>
      </c>
      <c r="P67" s="224"/>
      <c r="Q67" s="224"/>
      <c r="R67" s="224"/>
      <c r="S67" s="225">
        <v>14.15437</v>
      </c>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c r="BA67" s="224"/>
      <c r="BB67" s="224"/>
      <c r="BC67" s="224"/>
      <c r="BD67" s="224"/>
      <c r="BE67" s="224"/>
      <c r="BF67" s="224"/>
      <c r="BG67" s="224"/>
      <c r="BH67" s="224"/>
      <c r="BI67" s="224"/>
      <c r="BJ67" s="225">
        <v>14.15437</v>
      </c>
      <c r="BK67" s="224"/>
      <c r="BL67" s="225">
        <v>10.039952</v>
      </c>
      <c r="BM67" s="224"/>
      <c r="BN67" s="224"/>
      <c r="BO67" s="224"/>
      <c r="BP67" s="225">
        <v>10.039952</v>
      </c>
      <c r="BQ67" s="225">
        <v>10.039952</v>
      </c>
      <c r="BR67" s="224"/>
      <c r="BS67" s="224"/>
      <c r="BT67" s="224"/>
      <c r="BU67" s="224"/>
      <c r="BV67" s="224"/>
      <c r="BW67" s="224"/>
      <c r="BX67" s="224"/>
      <c r="BY67" s="224"/>
      <c r="BZ67" s="224"/>
      <c r="CA67" s="224"/>
      <c r="CB67" s="224"/>
      <c r="CC67" s="224"/>
      <c r="CD67" s="226">
        <v>24.194322</v>
      </c>
    </row>
    <row r="68" spans="1:82" x14ac:dyDescent="0.3">
      <c r="A68" s="221" t="str">
        <f t="shared" si="2"/>
        <v>ADDLearningComputing WorkforceTotal</v>
      </c>
      <c r="B68" s="6" t="s">
        <v>81</v>
      </c>
      <c r="C68" s="6" t="s">
        <v>133</v>
      </c>
      <c r="D68" s="224" t="s">
        <v>139</v>
      </c>
      <c r="E68" s="6" t="s">
        <v>24</v>
      </c>
      <c r="F68" s="224"/>
      <c r="G68" s="224"/>
      <c r="H68" s="224"/>
      <c r="I68" s="224"/>
      <c r="J68" s="224"/>
      <c r="K68" s="224"/>
      <c r="L68" s="224"/>
      <c r="M68" s="224"/>
      <c r="N68" s="225">
        <v>0</v>
      </c>
      <c r="O68" s="224"/>
      <c r="P68" s="225">
        <v>0.80069999999999997</v>
      </c>
      <c r="Q68" s="225">
        <v>0.48662300000000003</v>
      </c>
      <c r="R68" s="224"/>
      <c r="S68" s="225">
        <v>1.287323</v>
      </c>
      <c r="T68" s="224"/>
      <c r="U68" s="225">
        <v>8.4370000000000001E-3</v>
      </c>
      <c r="V68" s="224"/>
      <c r="W68" s="224"/>
      <c r="X68" s="224"/>
      <c r="Y68" s="224"/>
      <c r="Z68" s="224"/>
      <c r="AA68" s="225">
        <v>8.4370000000000001E-3</v>
      </c>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c r="BC68" s="224"/>
      <c r="BD68" s="224"/>
      <c r="BE68" s="224"/>
      <c r="BF68" s="224"/>
      <c r="BG68" s="224"/>
      <c r="BH68" s="224"/>
      <c r="BI68" s="224"/>
      <c r="BJ68" s="225">
        <v>1.29576</v>
      </c>
      <c r="BK68" s="224"/>
      <c r="BL68" s="224"/>
      <c r="BM68" s="224"/>
      <c r="BN68" s="224"/>
      <c r="BO68" s="224"/>
      <c r="BP68" s="224"/>
      <c r="BQ68" s="224"/>
      <c r="BR68" s="224"/>
      <c r="BS68" s="224"/>
      <c r="BT68" s="224"/>
      <c r="BU68" s="224"/>
      <c r="BV68" s="224"/>
      <c r="BW68" s="224"/>
      <c r="BX68" s="224"/>
      <c r="BY68" s="224"/>
      <c r="BZ68" s="224"/>
      <c r="CA68" s="224"/>
      <c r="CB68" s="224"/>
      <c r="CC68" s="224"/>
      <c r="CD68" s="226">
        <v>1.29576</v>
      </c>
    </row>
    <row r="69" spans="1:82" x14ac:dyDescent="0.3">
      <c r="A69" s="221" t="str">
        <f t="shared" si="2"/>
        <v>ADDLearningCybercorps: Scholarships for Service (SFS)Total</v>
      </c>
      <c r="B69" s="6" t="s">
        <v>81</v>
      </c>
      <c r="C69" s="6" t="s">
        <v>133</v>
      </c>
      <c r="D69" s="224" t="s">
        <v>140</v>
      </c>
      <c r="E69" s="6" t="s">
        <v>24</v>
      </c>
      <c r="F69" s="224"/>
      <c r="G69" s="224"/>
      <c r="H69" s="224"/>
      <c r="I69" s="224"/>
      <c r="J69" s="224"/>
      <c r="K69" s="224"/>
      <c r="L69" s="224"/>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4"/>
      <c r="AQ69" s="224"/>
      <c r="AR69" s="224"/>
      <c r="AS69" s="224"/>
      <c r="AT69" s="224"/>
      <c r="AU69" s="224"/>
      <c r="AV69" s="224"/>
      <c r="AW69" s="224"/>
      <c r="AX69" s="224"/>
      <c r="AY69" s="224"/>
      <c r="AZ69" s="224"/>
      <c r="BA69" s="224"/>
      <c r="BB69" s="224"/>
      <c r="BC69" s="224"/>
      <c r="BD69" s="224"/>
      <c r="BE69" s="224"/>
      <c r="BF69" s="224"/>
      <c r="BG69" s="224"/>
      <c r="BH69" s="224"/>
      <c r="BI69" s="224"/>
      <c r="BJ69" s="224"/>
      <c r="BK69" s="225">
        <v>62.995623999999999</v>
      </c>
      <c r="BL69" s="224"/>
      <c r="BM69" s="224"/>
      <c r="BN69" s="224"/>
      <c r="BO69" s="224"/>
      <c r="BP69" s="225">
        <v>62.995623999999999</v>
      </c>
      <c r="BQ69" s="225">
        <v>62.995623999999999</v>
      </c>
      <c r="BR69" s="224"/>
      <c r="BS69" s="224"/>
      <c r="BT69" s="224"/>
      <c r="BU69" s="224"/>
      <c r="BV69" s="224"/>
      <c r="BW69" s="224"/>
      <c r="BX69" s="224"/>
      <c r="BY69" s="224"/>
      <c r="BZ69" s="224"/>
      <c r="CA69" s="224"/>
      <c r="CB69" s="224"/>
      <c r="CC69" s="224"/>
      <c r="CD69" s="226">
        <v>62.995623999999999</v>
      </c>
    </row>
    <row r="70" spans="1:82" x14ac:dyDescent="0.3">
      <c r="A70" s="221" t="str">
        <f t="shared" si="2"/>
        <v>ADDLearningCyberTrainingTotal</v>
      </c>
      <c r="B70" s="6" t="s">
        <v>81</v>
      </c>
      <c r="C70" s="6" t="s">
        <v>133</v>
      </c>
      <c r="D70" s="224" t="s">
        <v>141</v>
      </c>
      <c r="E70" s="6" t="s">
        <v>24</v>
      </c>
      <c r="F70" s="224"/>
      <c r="G70" s="224"/>
      <c r="H70" s="224"/>
      <c r="I70" s="224"/>
      <c r="J70" s="224"/>
      <c r="K70" s="224"/>
      <c r="L70" s="224"/>
      <c r="M70" s="224"/>
      <c r="N70" s="224"/>
      <c r="O70" s="224"/>
      <c r="P70" s="224"/>
      <c r="Q70" s="225">
        <v>19.440736000000001</v>
      </c>
      <c r="R70" s="224"/>
      <c r="S70" s="225">
        <v>19.440736000000001</v>
      </c>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4"/>
      <c r="AQ70" s="224"/>
      <c r="AR70" s="224"/>
      <c r="AS70" s="224"/>
      <c r="AT70" s="224"/>
      <c r="AU70" s="224"/>
      <c r="AV70" s="224"/>
      <c r="AW70" s="224"/>
      <c r="AX70" s="224"/>
      <c r="AY70" s="224"/>
      <c r="AZ70" s="224"/>
      <c r="BA70" s="224"/>
      <c r="BB70" s="224"/>
      <c r="BC70" s="224"/>
      <c r="BD70" s="224"/>
      <c r="BE70" s="224"/>
      <c r="BF70" s="224"/>
      <c r="BG70" s="224"/>
      <c r="BH70" s="224"/>
      <c r="BI70" s="224"/>
      <c r="BJ70" s="225">
        <v>19.440736000000001</v>
      </c>
      <c r="BK70" s="224"/>
      <c r="BL70" s="224"/>
      <c r="BM70" s="224"/>
      <c r="BN70" s="224"/>
      <c r="BO70" s="224"/>
      <c r="BP70" s="224"/>
      <c r="BQ70" s="224"/>
      <c r="BR70" s="224"/>
      <c r="BS70" s="224"/>
      <c r="BT70" s="224"/>
      <c r="BU70" s="224"/>
      <c r="BV70" s="224"/>
      <c r="BW70" s="224"/>
      <c r="BX70" s="224"/>
      <c r="BY70" s="224"/>
      <c r="BZ70" s="224"/>
      <c r="CA70" s="224"/>
      <c r="CB70" s="224"/>
      <c r="CC70" s="224"/>
      <c r="CD70" s="226">
        <v>19.440736000000001</v>
      </c>
    </row>
    <row r="71" spans="1:82" x14ac:dyDescent="0.3">
      <c r="A71" s="221" t="str">
        <f t="shared" si="2"/>
        <v>ADDLearningEntrepreneurial FellowsTotal</v>
      </c>
      <c r="B71" s="6" t="s">
        <v>81</v>
      </c>
      <c r="C71" s="6" t="s">
        <v>133</v>
      </c>
      <c r="D71" s="224" t="s">
        <v>142</v>
      </c>
      <c r="E71" s="6" t="s">
        <v>24</v>
      </c>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4"/>
      <c r="AQ71" s="224"/>
      <c r="AR71" s="224"/>
      <c r="AS71" s="224"/>
      <c r="AT71" s="224"/>
      <c r="AU71" s="224"/>
      <c r="AV71" s="224"/>
      <c r="AW71" s="224"/>
      <c r="AX71" s="225">
        <v>2.2444540000000002</v>
      </c>
      <c r="AY71" s="224"/>
      <c r="AZ71" s="225">
        <v>2.2444540000000002</v>
      </c>
      <c r="BA71" s="224"/>
      <c r="BB71" s="224"/>
      <c r="BC71" s="224"/>
      <c r="BD71" s="224"/>
      <c r="BE71" s="224"/>
      <c r="BF71" s="224"/>
      <c r="BG71" s="224"/>
      <c r="BH71" s="224"/>
      <c r="BI71" s="224"/>
      <c r="BJ71" s="225">
        <v>2.2444540000000002</v>
      </c>
      <c r="BK71" s="224"/>
      <c r="BL71" s="224"/>
      <c r="BM71" s="224"/>
      <c r="BN71" s="224"/>
      <c r="BO71" s="224"/>
      <c r="BP71" s="224"/>
      <c r="BQ71" s="224"/>
      <c r="BR71" s="224"/>
      <c r="BS71" s="224"/>
      <c r="BT71" s="224"/>
      <c r="BU71" s="224"/>
      <c r="BV71" s="224"/>
      <c r="BW71" s="224"/>
      <c r="BX71" s="224"/>
      <c r="BY71" s="224"/>
      <c r="BZ71" s="224"/>
      <c r="CA71" s="224"/>
      <c r="CB71" s="224"/>
      <c r="CC71" s="224"/>
      <c r="CD71" s="226">
        <v>2.2444540000000002</v>
      </c>
    </row>
    <row r="72" spans="1:82" x14ac:dyDescent="0.3">
      <c r="A72" s="221" t="str">
        <f t="shared" si="2"/>
        <v>ADDLearningExcellence Awards in Science &amp; Engineering (EASE)Total</v>
      </c>
      <c r="B72" s="6" t="s">
        <v>81</v>
      </c>
      <c r="C72" s="6" t="s">
        <v>133</v>
      </c>
      <c r="D72" s="224" t="s">
        <v>143</v>
      </c>
      <c r="E72" s="6" t="s">
        <v>24</v>
      </c>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5">
        <v>4.114776</v>
      </c>
      <c r="BO72" s="224"/>
      <c r="BP72" s="225">
        <v>4.114776</v>
      </c>
      <c r="BQ72" s="225">
        <v>4.114776</v>
      </c>
      <c r="BR72" s="224"/>
      <c r="BS72" s="224"/>
      <c r="BT72" s="224"/>
      <c r="BU72" s="224"/>
      <c r="BV72" s="224"/>
      <c r="BW72" s="224"/>
      <c r="BX72" s="224"/>
      <c r="BY72" s="224"/>
      <c r="BZ72" s="224"/>
      <c r="CA72" s="224"/>
      <c r="CB72" s="224"/>
      <c r="CC72" s="224"/>
      <c r="CD72" s="226">
        <v>4.114776</v>
      </c>
    </row>
    <row r="73" spans="1:82" x14ac:dyDescent="0.3">
      <c r="A73" s="221" t="str">
        <f t="shared" si="2"/>
        <v>ADDLearningGeosciences Disciplinary EducationTotal</v>
      </c>
      <c r="B73" s="6" t="s">
        <v>81</v>
      </c>
      <c r="C73" s="6" t="s">
        <v>133</v>
      </c>
      <c r="D73" s="224" t="s">
        <v>144</v>
      </c>
      <c r="E73" s="6" t="s">
        <v>24</v>
      </c>
      <c r="F73" s="224"/>
      <c r="G73" s="224"/>
      <c r="H73" s="224"/>
      <c r="I73" s="224"/>
      <c r="J73" s="224"/>
      <c r="K73" s="224"/>
      <c r="L73" s="224"/>
      <c r="M73" s="224"/>
      <c r="N73" s="224"/>
      <c r="O73" s="224"/>
      <c r="P73" s="224"/>
      <c r="Q73" s="224"/>
      <c r="R73" s="224"/>
      <c r="S73" s="224"/>
      <c r="T73" s="224"/>
      <c r="U73" s="224"/>
      <c r="V73" s="224"/>
      <c r="W73" s="224"/>
      <c r="X73" s="224"/>
      <c r="Y73" s="224"/>
      <c r="Z73" s="224"/>
      <c r="AA73" s="224"/>
      <c r="AB73" s="225">
        <v>0.37830599999999998</v>
      </c>
      <c r="AC73" s="225">
        <v>0.14990600000000001</v>
      </c>
      <c r="AD73" s="225">
        <v>0.27603299999999997</v>
      </c>
      <c r="AE73" s="225">
        <v>0.51027400000000001</v>
      </c>
      <c r="AF73" s="225">
        <v>6.5575390000000002</v>
      </c>
      <c r="AG73" s="224"/>
      <c r="AH73" s="225">
        <v>7.872058</v>
      </c>
      <c r="AI73" s="224"/>
      <c r="AJ73" s="224"/>
      <c r="AK73" s="224"/>
      <c r="AL73" s="224"/>
      <c r="AM73" s="224"/>
      <c r="AN73" s="224"/>
      <c r="AO73" s="224"/>
      <c r="AP73" s="224"/>
      <c r="AQ73" s="224"/>
      <c r="AR73" s="224"/>
      <c r="AS73" s="224"/>
      <c r="AT73" s="224"/>
      <c r="AU73" s="224"/>
      <c r="AV73" s="224"/>
      <c r="AW73" s="224"/>
      <c r="AX73" s="224"/>
      <c r="AY73" s="224"/>
      <c r="AZ73" s="224"/>
      <c r="BA73" s="224"/>
      <c r="BB73" s="224"/>
      <c r="BC73" s="224"/>
      <c r="BD73" s="224"/>
      <c r="BE73" s="224"/>
      <c r="BF73" s="224"/>
      <c r="BG73" s="224"/>
      <c r="BH73" s="224"/>
      <c r="BI73" s="224"/>
      <c r="BJ73" s="225">
        <v>7.872058</v>
      </c>
      <c r="BK73" s="224"/>
      <c r="BL73" s="224"/>
      <c r="BM73" s="224"/>
      <c r="BN73" s="224"/>
      <c r="BO73" s="224"/>
      <c r="BP73" s="224"/>
      <c r="BQ73" s="224"/>
      <c r="BR73" s="224"/>
      <c r="BS73" s="224"/>
      <c r="BT73" s="224"/>
      <c r="BU73" s="224"/>
      <c r="BV73" s="224"/>
      <c r="BW73" s="224"/>
      <c r="BX73" s="224"/>
      <c r="BY73" s="224"/>
      <c r="BZ73" s="224"/>
      <c r="CA73" s="224"/>
      <c r="CB73" s="224"/>
      <c r="CC73" s="224"/>
      <c r="CD73" s="226">
        <v>7.872058</v>
      </c>
    </row>
    <row r="74" spans="1:82" x14ac:dyDescent="0.3">
      <c r="A74" s="221" t="str">
        <f t="shared" ref="A74:A137" si="3">CONCATENATE(B74,C74,D74,E74)</f>
        <v>ADDLearningGeosciences Postdoctoral FellowshipsTotal</v>
      </c>
      <c r="B74" s="6" t="s">
        <v>81</v>
      </c>
      <c r="C74" s="6" t="s">
        <v>133</v>
      </c>
      <c r="D74" s="224" t="s">
        <v>145</v>
      </c>
      <c r="E74" s="6" t="s">
        <v>24</v>
      </c>
      <c r="F74" s="224"/>
      <c r="G74" s="224"/>
      <c r="H74" s="224"/>
      <c r="I74" s="224"/>
      <c r="J74" s="224"/>
      <c r="K74" s="224"/>
      <c r="L74" s="224"/>
      <c r="M74" s="224"/>
      <c r="N74" s="224"/>
      <c r="O74" s="224"/>
      <c r="P74" s="224"/>
      <c r="Q74" s="224"/>
      <c r="R74" s="224"/>
      <c r="S74" s="224"/>
      <c r="T74" s="224"/>
      <c r="U74" s="224"/>
      <c r="V74" s="224"/>
      <c r="W74" s="224"/>
      <c r="X74" s="224"/>
      <c r="Y74" s="224"/>
      <c r="Z74" s="224"/>
      <c r="AA74" s="224"/>
      <c r="AB74" s="225">
        <v>1.3679159999999999</v>
      </c>
      <c r="AC74" s="225">
        <v>4.387562</v>
      </c>
      <c r="AD74" s="225">
        <v>6.0077600000000002</v>
      </c>
      <c r="AE74" s="225">
        <v>3.0812270000000002</v>
      </c>
      <c r="AF74" s="224"/>
      <c r="AG74" s="224"/>
      <c r="AH74" s="225">
        <v>14.844465</v>
      </c>
      <c r="AI74" s="224"/>
      <c r="AJ74" s="224"/>
      <c r="AK74" s="224"/>
      <c r="AL74" s="224"/>
      <c r="AM74" s="224"/>
      <c r="AN74" s="224"/>
      <c r="AO74" s="224"/>
      <c r="AP74" s="224"/>
      <c r="AQ74" s="224"/>
      <c r="AR74" s="224"/>
      <c r="AS74" s="224"/>
      <c r="AT74" s="224"/>
      <c r="AU74" s="224"/>
      <c r="AV74" s="224"/>
      <c r="AW74" s="224"/>
      <c r="AX74" s="224"/>
      <c r="AY74" s="224"/>
      <c r="AZ74" s="224"/>
      <c r="BA74" s="224"/>
      <c r="BB74" s="224"/>
      <c r="BC74" s="224"/>
      <c r="BD74" s="224"/>
      <c r="BE74" s="224"/>
      <c r="BF74" s="224"/>
      <c r="BG74" s="224"/>
      <c r="BH74" s="224"/>
      <c r="BI74" s="224"/>
      <c r="BJ74" s="225">
        <v>14.844465</v>
      </c>
      <c r="BK74" s="224"/>
      <c r="BL74" s="224"/>
      <c r="BM74" s="224"/>
      <c r="BN74" s="224"/>
      <c r="BO74" s="224"/>
      <c r="BP74" s="224"/>
      <c r="BQ74" s="224"/>
      <c r="BR74" s="224"/>
      <c r="BS74" s="224"/>
      <c r="BT74" s="224"/>
      <c r="BU74" s="224"/>
      <c r="BV74" s="224"/>
      <c r="BW74" s="224"/>
      <c r="BX74" s="224"/>
      <c r="BY74" s="224"/>
      <c r="BZ74" s="224"/>
      <c r="CA74" s="224"/>
      <c r="CB74" s="224"/>
      <c r="CC74" s="224"/>
      <c r="CD74" s="226">
        <v>14.844465</v>
      </c>
    </row>
    <row r="75" spans="1:82" x14ac:dyDescent="0.3">
      <c r="A75" s="221" t="str">
        <f t="shared" si="3"/>
        <v>ADDLearningGraduate Research Fellowship Program (GRFP)Total</v>
      </c>
      <c r="B75" s="6" t="s">
        <v>81</v>
      </c>
      <c r="C75" s="6" t="s">
        <v>133</v>
      </c>
      <c r="D75" s="224" t="s">
        <v>146</v>
      </c>
      <c r="E75" s="6" t="s">
        <v>24</v>
      </c>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4"/>
      <c r="AP75" s="224"/>
      <c r="AQ75" s="224"/>
      <c r="AR75" s="224"/>
      <c r="AS75" s="224"/>
      <c r="AT75" s="224"/>
      <c r="AU75" s="224"/>
      <c r="AV75" s="224"/>
      <c r="AW75" s="224"/>
      <c r="AX75" s="224"/>
      <c r="AY75" s="224"/>
      <c r="AZ75" s="224"/>
      <c r="BA75" s="224"/>
      <c r="BB75" s="224"/>
      <c r="BC75" s="224"/>
      <c r="BD75" s="225">
        <v>0</v>
      </c>
      <c r="BE75" s="225">
        <v>0</v>
      </c>
      <c r="BF75" s="224"/>
      <c r="BG75" s="224"/>
      <c r="BH75" s="224"/>
      <c r="BI75" s="224"/>
      <c r="BJ75" s="225">
        <v>0</v>
      </c>
      <c r="BK75" s="225">
        <v>290.00870700000002</v>
      </c>
      <c r="BL75" s="224"/>
      <c r="BM75" s="224"/>
      <c r="BN75" s="224"/>
      <c r="BO75" s="224"/>
      <c r="BP75" s="225">
        <v>290.00870700000002</v>
      </c>
      <c r="BQ75" s="225">
        <v>290.00870700000002</v>
      </c>
      <c r="BR75" s="224"/>
      <c r="BS75" s="224"/>
      <c r="BT75" s="224"/>
      <c r="BU75" s="224"/>
      <c r="BV75" s="224"/>
      <c r="BW75" s="224"/>
      <c r="BX75" s="224"/>
      <c r="BY75" s="224"/>
      <c r="BZ75" s="224"/>
      <c r="CA75" s="224"/>
      <c r="CB75" s="224"/>
      <c r="CC75" s="224"/>
      <c r="CD75" s="226">
        <v>290.00870700000002</v>
      </c>
    </row>
    <row r="76" spans="1:82" x14ac:dyDescent="0.3">
      <c r="A76" s="221" t="str">
        <f t="shared" si="3"/>
        <v>ADDLearningInternational Research Experiences for Students (IRES)Total</v>
      </c>
      <c r="B76" s="6" t="s">
        <v>81</v>
      </c>
      <c r="C76" s="6" t="s">
        <v>133</v>
      </c>
      <c r="D76" s="224" t="s">
        <v>147</v>
      </c>
      <c r="E76" s="6" t="s">
        <v>24</v>
      </c>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4"/>
      <c r="AK76" s="224"/>
      <c r="AL76" s="224"/>
      <c r="AM76" s="224"/>
      <c r="AN76" s="224"/>
      <c r="AO76" s="224"/>
      <c r="AP76" s="224"/>
      <c r="AQ76" s="224"/>
      <c r="AR76" s="224"/>
      <c r="AS76" s="224"/>
      <c r="AT76" s="224"/>
      <c r="AU76" s="224"/>
      <c r="AV76" s="224"/>
      <c r="AW76" s="224"/>
      <c r="AX76" s="224"/>
      <c r="AY76" s="224"/>
      <c r="AZ76" s="224"/>
      <c r="BA76" s="225">
        <v>7.5654450000000004</v>
      </c>
      <c r="BB76" s="225">
        <v>7.5654450000000004</v>
      </c>
      <c r="BC76" s="224"/>
      <c r="BD76" s="224"/>
      <c r="BE76" s="224"/>
      <c r="BF76" s="224"/>
      <c r="BG76" s="224"/>
      <c r="BH76" s="224"/>
      <c r="BI76" s="224"/>
      <c r="BJ76" s="225">
        <v>7.5654450000000004</v>
      </c>
      <c r="BK76" s="224"/>
      <c r="BL76" s="224"/>
      <c r="BM76" s="224"/>
      <c r="BN76" s="224"/>
      <c r="BO76" s="224"/>
      <c r="BP76" s="224"/>
      <c r="BQ76" s="224"/>
      <c r="BR76" s="224"/>
      <c r="BS76" s="224"/>
      <c r="BT76" s="224"/>
      <c r="BU76" s="224"/>
      <c r="BV76" s="224"/>
      <c r="BW76" s="224"/>
      <c r="BX76" s="224"/>
      <c r="BY76" s="224"/>
      <c r="BZ76" s="224"/>
      <c r="CA76" s="224"/>
      <c r="CB76" s="224"/>
      <c r="CC76" s="224"/>
      <c r="CD76" s="226">
        <v>7.5654450000000004</v>
      </c>
    </row>
    <row r="77" spans="1:82" x14ac:dyDescent="0.3">
      <c r="A77" s="221" t="str">
        <f t="shared" si="3"/>
        <v>ADDLearningLearning Stewardship OffsetTotal</v>
      </c>
      <c r="B77" s="6" t="s">
        <v>81</v>
      </c>
      <c r="C77" s="6" t="s">
        <v>133</v>
      </c>
      <c r="D77" s="224" t="s">
        <v>148</v>
      </c>
      <c r="E77" s="6" t="s">
        <v>24</v>
      </c>
      <c r="F77" s="224"/>
      <c r="G77" s="224"/>
      <c r="H77" s="224"/>
      <c r="I77" s="224"/>
      <c r="J77" s="224"/>
      <c r="K77" s="224"/>
      <c r="L77" s="224"/>
      <c r="M77" s="224"/>
      <c r="N77" s="224"/>
      <c r="O77" s="224"/>
      <c r="P77" s="224"/>
      <c r="Q77" s="224"/>
      <c r="R77" s="224"/>
      <c r="S77" s="224"/>
      <c r="T77" s="224"/>
      <c r="U77" s="224"/>
      <c r="V77" s="224"/>
      <c r="W77" s="224"/>
      <c r="X77" s="224"/>
      <c r="Y77" s="224"/>
      <c r="Z77" s="224"/>
      <c r="AA77" s="224"/>
      <c r="AB77" s="224"/>
      <c r="AC77" s="224"/>
      <c r="AD77" s="224"/>
      <c r="AE77" s="224"/>
      <c r="AF77" s="224"/>
      <c r="AG77" s="224"/>
      <c r="AH77" s="224"/>
      <c r="AI77" s="224"/>
      <c r="AJ77" s="224"/>
      <c r="AK77" s="224"/>
      <c r="AL77" s="224"/>
      <c r="AM77" s="224"/>
      <c r="AN77" s="224"/>
      <c r="AO77" s="224"/>
      <c r="AP77" s="224"/>
      <c r="AQ77" s="224"/>
      <c r="AR77" s="224"/>
      <c r="AS77" s="224"/>
      <c r="AT77" s="224"/>
      <c r="AU77" s="224"/>
      <c r="AV77" s="224"/>
      <c r="AW77" s="224"/>
      <c r="AX77" s="224"/>
      <c r="AY77" s="224"/>
      <c r="AZ77" s="224"/>
      <c r="BA77" s="224"/>
      <c r="BB77" s="224"/>
      <c r="BC77" s="224"/>
      <c r="BD77" s="225">
        <v>-0.102602</v>
      </c>
      <c r="BE77" s="225">
        <v>-0.102602</v>
      </c>
      <c r="BF77" s="224"/>
      <c r="BG77" s="224"/>
      <c r="BH77" s="224"/>
      <c r="BI77" s="224"/>
      <c r="BJ77" s="225">
        <v>-0.102602</v>
      </c>
      <c r="BK77" s="225">
        <v>-7.4843520000000003</v>
      </c>
      <c r="BL77" s="225">
        <v>-0.148838</v>
      </c>
      <c r="BM77" s="225">
        <v>-3.002043</v>
      </c>
      <c r="BN77" s="225">
        <v>-1.546475</v>
      </c>
      <c r="BO77" s="225">
        <v>0</v>
      </c>
      <c r="BP77" s="225">
        <v>-12.181708</v>
      </c>
      <c r="BQ77" s="225">
        <v>-12.181708</v>
      </c>
      <c r="BR77" s="224"/>
      <c r="BS77" s="224"/>
      <c r="BT77" s="224"/>
      <c r="BU77" s="224"/>
      <c r="BV77" s="224"/>
      <c r="BW77" s="224"/>
      <c r="BX77" s="224"/>
      <c r="BY77" s="224"/>
      <c r="BZ77" s="224"/>
      <c r="CA77" s="224"/>
      <c r="CB77" s="224"/>
      <c r="CC77" s="224"/>
      <c r="CD77" s="226">
        <v>-12.28431</v>
      </c>
    </row>
    <row r="78" spans="1:82" x14ac:dyDescent="0.3">
      <c r="A78" s="221" t="str">
        <f t="shared" si="3"/>
        <v>ADDLearningLouis Stokes Alliances for Minority Participation (LSAMP)Total</v>
      </c>
      <c r="B78" s="6" t="s">
        <v>81</v>
      </c>
      <c r="C78" s="6" t="s">
        <v>133</v>
      </c>
      <c r="D78" s="224" t="s">
        <v>149</v>
      </c>
      <c r="E78" s="6" t="s">
        <v>24</v>
      </c>
      <c r="F78" s="224"/>
      <c r="G78" s="224"/>
      <c r="H78" s="224"/>
      <c r="I78" s="224"/>
      <c r="J78" s="224"/>
      <c r="K78" s="224"/>
      <c r="L78" s="224"/>
      <c r="M78" s="224"/>
      <c r="N78" s="224"/>
      <c r="O78" s="224"/>
      <c r="P78" s="224"/>
      <c r="Q78" s="224"/>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c r="AO78" s="224"/>
      <c r="AP78" s="224"/>
      <c r="AQ78" s="224"/>
      <c r="AR78" s="224"/>
      <c r="AS78" s="224"/>
      <c r="AT78" s="224"/>
      <c r="AU78" s="224"/>
      <c r="AV78" s="224"/>
      <c r="AW78" s="224"/>
      <c r="AX78" s="224"/>
      <c r="AY78" s="224"/>
      <c r="AZ78" s="224"/>
      <c r="BA78" s="224"/>
      <c r="BB78" s="224"/>
      <c r="BC78" s="224"/>
      <c r="BD78" s="224"/>
      <c r="BE78" s="224"/>
      <c r="BF78" s="224"/>
      <c r="BG78" s="224"/>
      <c r="BH78" s="224"/>
      <c r="BI78" s="224"/>
      <c r="BJ78" s="224"/>
      <c r="BK78" s="224"/>
      <c r="BL78" s="224"/>
      <c r="BM78" s="224"/>
      <c r="BN78" s="225">
        <v>51.519632000000001</v>
      </c>
      <c r="BO78" s="224"/>
      <c r="BP78" s="225">
        <v>51.519632000000001</v>
      </c>
      <c r="BQ78" s="225">
        <v>51.519632000000001</v>
      </c>
      <c r="BR78" s="224"/>
      <c r="BS78" s="224"/>
      <c r="BT78" s="224"/>
      <c r="BU78" s="224"/>
      <c r="BV78" s="224"/>
      <c r="BW78" s="224"/>
      <c r="BX78" s="224"/>
      <c r="BY78" s="224"/>
      <c r="BZ78" s="224"/>
      <c r="CA78" s="224"/>
      <c r="CB78" s="224"/>
      <c r="CC78" s="224"/>
      <c r="CD78" s="226">
        <v>51.519632000000001</v>
      </c>
    </row>
    <row r="79" spans="1:82" x14ac:dyDescent="0.3">
      <c r="A79" s="221" t="str">
        <f t="shared" si="3"/>
        <v>ADDLearningMathematical Sciences Postdoctoral Research Fellowships (MSPRF)Total</v>
      </c>
      <c r="B79" s="6" t="s">
        <v>81</v>
      </c>
      <c r="C79" s="6" t="s">
        <v>133</v>
      </c>
      <c r="D79" s="224" t="s">
        <v>150</v>
      </c>
      <c r="E79" s="6" t="s">
        <v>24</v>
      </c>
      <c r="F79" s="224"/>
      <c r="G79" s="224"/>
      <c r="H79" s="224"/>
      <c r="I79" s="224"/>
      <c r="J79" s="224"/>
      <c r="K79" s="224"/>
      <c r="L79" s="224"/>
      <c r="M79" s="224"/>
      <c r="N79" s="224"/>
      <c r="O79" s="224"/>
      <c r="P79" s="224"/>
      <c r="Q79" s="224"/>
      <c r="R79" s="224"/>
      <c r="S79" s="224"/>
      <c r="T79" s="224"/>
      <c r="U79" s="224"/>
      <c r="V79" s="224"/>
      <c r="W79" s="224"/>
      <c r="X79" s="224"/>
      <c r="Y79" s="224"/>
      <c r="Z79" s="224"/>
      <c r="AA79" s="224"/>
      <c r="AB79" s="224"/>
      <c r="AC79" s="224"/>
      <c r="AD79" s="224"/>
      <c r="AE79" s="224"/>
      <c r="AF79" s="224"/>
      <c r="AG79" s="224"/>
      <c r="AH79" s="224"/>
      <c r="AI79" s="224"/>
      <c r="AJ79" s="224"/>
      <c r="AK79" s="224"/>
      <c r="AL79" s="225">
        <v>6.4</v>
      </c>
      <c r="AM79" s="225">
        <v>0</v>
      </c>
      <c r="AN79" s="224"/>
      <c r="AO79" s="224"/>
      <c r="AP79" s="225">
        <v>6.4</v>
      </c>
      <c r="AQ79" s="224"/>
      <c r="AR79" s="224"/>
      <c r="AS79" s="224"/>
      <c r="AT79" s="224"/>
      <c r="AU79" s="224"/>
      <c r="AV79" s="224"/>
      <c r="AW79" s="224"/>
      <c r="AX79" s="224"/>
      <c r="AY79" s="224"/>
      <c r="AZ79" s="224"/>
      <c r="BA79" s="224"/>
      <c r="BB79" s="224"/>
      <c r="BC79" s="224"/>
      <c r="BD79" s="224"/>
      <c r="BE79" s="224"/>
      <c r="BF79" s="224"/>
      <c r="BG79" s="224"/>
      <c r="BH79" s="224"/>
      <c r="BI79" s="224"/>
      <c r="BJ79" s="225">
        <v>6.4</v>
      </c>
      <c r="BK79" s="224"/>
      <c r="BL79" s="224"/>
      <c r="BM79" s="224"/>
      <c r="BN79" s="224"/>
      <c r="BO79" s="224"/>
      <c r="BP79" s="224"/>
      <c r="BQ79" s="224"/>
      <c r="BR79" s="224"/>
      <c r="BS79" s="224"/>
      <c r="BT79" s="224"/>
      <c r="BU79" s="224"/>
      <c r="BV79" s="224"/>
      <c r="BW79" s="224"/>
      <c r="BX79" s="224"/>
      <c r="BY79" s="224"/>
      <c r="BZ79" s="224"/>
      <c r="CA79" s="224"/>
      <c r="CB79" s="224"/>
      <c r="CC79" s="224"/>
      <c r="CD79" s="226">
        <v>6.4</v>
      </c>
    </row>
    <row r="80" spans="1:82" x14ac:dyDescent="0.3">
      <c r="A80" s="221" t="str">
        <f t="shared" si="3"/>
        <v>ADDLearningMPS ASCEND Postdoctoral Research FellowshipsTotal</v>
      </c>
      <c r="B80" s="6" t="s">
        <v>81</v>
      </c>
      <c r="C80" s="6" t="s">
        <v>133</v>
      </c>
      <c r="D80" s="224" t="s">
        <v>151</v>
      </c>
      <c r="E80" s="6" t="s">
        <v>24</v>
      </c>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5">
        <v>0</v>
      </c>
      <c r="AM80" s="225">
        <v>0.72093099999999999</v>
      </c>
      <c r="AN80" s="224"/>
      <c r="AO80" s="224"/>
      <c r="AP80" s="225">
        <v>0.72093099999999999</v>
      </c>
      <c r="AQ80" s="224"/>
      <c r="AR80" s="224"/>
      <c r="AS80" s="224"/>
      <c r="AT80" s="224"/>
      <c r="AU80" s="224"/>
      <c r="AV80" s="224"/>
      <c r="AW80" s="224"/>
      <c r="AX80" s="224"/>
      <c r="AY80" s="224"/>
      <c r="AZ80" s="224"/>
      <c r="BA80" s="224"/>
      <c r="BB80" s="224"/>
      <c r="BC80" s="224"/>
      <c r="BD80" s="224"/>
      <c r="BE80" s="224"/>
      <c r="BF80" s="224"/>
      <c r="BG80" s="224"/>
      <c r="BH80" s="224"/>
      <c r="BI80" s="224"/>
      <c r="BJ80" s="225">
        <v>0.72093099999999999</v>
      </c>
      <c r="BK80" s="224"/>
      <c r="BL80" s="224"/>
      <c r="BM80" s="224"/>
      <c r="BN80" s="224"/>
      <c r="BO80" s="224"/>
      <c r="BP80" s="224"/>
      <c r="BQ80" s="224"/>
      <c r="BR80" s="224"/>
      <c r="BS80" s="224"/>
      <c r="BT80" s="224"/>
      <c r="BU80" s="224"/>
      <c r="BV80" s="224"/>
      <c r="BW80" s="224"/>
      <c r="BX80" s="224"/>
      <c r="BY80" s="224"/>
      <c r="BZ80" s="224"/>
      <c r="CA80" s="224"/>
      <c r="CB80" s="224"/>
      <c r="CC80" s="224"/>
      <c r="CD80" s="226">
        <v>0.72093099999999999</v>
      </c>
    </row>
    <row r="81" spans="1:82" x14ac:dyDescent="0.3">
      <c r="A81" s="221" t="str">
        <f t="shared" si="3"/>
        <v>ADDLearningNSF Research Traineeship (NRT)Total</v>
      </c>
      <c r="B81" s="6" t="s">
        <v>81</v>
      </c>
      <c r="C81" s="6" t="s">
        <v>133</v>
      </c>
      <c r="D81" s="224" t="s">
        <v>152</v>
      </c>
      <c r="E81" s="6" t="s">
        <v>24</v>
      </c>
      <c r="F81" s="224"/>
      <c r="G81" s="224"/>
      <c r="H81" s="224"/>
      <c r="I81" s="224"/>
      <c r="J81" s="224"/>
      <c r="K81" s="224"/>
      <c r="L81" s="224"/>
      <c r="M81" s="224"/>
      <c r="N81" s="224"/>
      <c r="O81" s="224"/>
      <c r="P81" s="224"/>
      <c r="Q81" s="224"/>
      <c r="R81" s="224"/>
      <c r="S81" s="224"/>
      <c r="T81" s="224"/>
      <c r="U81" s="224"/>
      <c r="V81" s="224"/>
      <c r="W81" s="225">
        <v>0</v>
      </c>
      <c r="X81" s="224"/>
      <c r="Y81" s="224"/>
      <c r="Z81" s="224"/>
      <c r="AA81" s="225">
        <v>0</v>
      </c>
      <c r="AB81" s="224"/>
      <c r="AC81" s="224"/>
      <c r="AD81" s="224"/>
      <c r="AE81" s="225">
        <v>0</v>
      </c>
      <c r="AF81" s="224"/>
      <c r="AG81" s="224"/>
      <c r="AH81" s="225">
        <v>0</v>
      </c>
      <c r="AI81" s="225">
        <v>0</v>
      </c>
      <c r="AJ81" s="225">
        <v>0</v>
      </c>
      <c r="AK81" s="224"/>
      <c r="AL81" s="225">
        <v>0</v>
      </c>
      <c r="AM81" s="225">
        <v>0</v>
      </c>
      <c r="AN81" s="225">
        <v>0</v>
      </c>
      <c r="AO81" s="224"/>
      <c r="AP81" s="225">
        <v>0</v>
      </c>
      <c r="AQ81" s="225">
        <v>0</v>
      </c>
      <c r="AR81" s="224"/>
      <c r="AS81" s="225">
        <v>0</v>
      </c>
      <c r="AT81" s="225">
        <v>0</v>
      </c>
      <c r="AU81" s="224"/>
      <c r="AV81" s="225">
        <v>0</v>
      </c>
      <c r="AW81" s="224"/>
      <c r="AX81" s="224"/>
      <c r="AY81" s="224"/>
      <c r="AZ81" s="224"/>
      <c r="BA81" s="224"/>
      <c r="BB81" s="224"/>
      <c r="BC81" s="224"/>
      <c r="BD81" s="225">
        <v>0</v>
      </c>
      <c r="BE81" s="225">
        <v>0</v>
      </c>
      <c r="BF81" s="224"/>
      <c r="BG81" s="224"/>
      <c r="BH81" s="224"/>
      <c r="BI81" s="224"/>
      <c r="BJ81" s="225">
        <v>0</v>
      </c>
      <c r="BK81" s="225">
        <v>59.997826000000003</v>
      </c>
      <c r="BL81" s="224"/>
      <c r="BM81" s="224"/>
      <c r="BN81" s="224"/>
      <c r="BO81" s="224"/>
      <c r="BP81" s="225">
        <v>59.997826000000003</v>
      </c>
      <c r="BQ81" s="225">
        <v>59.997826000000003</v>
      </c>
      <c r="BR81" s="224"/>
      <c r="BS81" s="224"/>
      <c r="BT81" s="224"/>
      <c r="BU81" s="224"/>
      <c r="BV81" s="224"/>
      <c r="BW81" s="224"/>
      <c r="BX81" s="224"/>
      <c r="BY81" s="224"/>
      <c r="BZ81" s="224"/>
      <c r="CA81" s="224"/>
      <c r="CB81" s="224"/>
      <c r="CC81" s="224"/>
      <c r="CD81" s="226">
        <v>59.997826000000003</v>
      </c>
    </row>
    <row r="82" spans="1:82" x14ac:dyDescent="0.3">
      <c r="A82" s="221" t="str">
        <f t="shared" si="3"/>
        <v>ADDLearningPartnerships in Astronomy &amp; Astrophysics Research Education (PAARE)Total</v>
      </c>
      <c r="B82" s="6" t="s">
        <v>81</v>
      </c>
      <c r="C82" s="6" t="s">
        <v>133</v>
      </c>
      <c r="D82" s="224" t="s">
        <v>153</v>
      </c>
      <c r="E82" s="6" t="s">
        <v>24</v>
      </c>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H82" s="224"/>
      <c r="AI82" s="225">
        <v>0.50280000000000002</v>
      </c>
      <c r="AJ82" s="224"/>
      <c r="AK82" s="224"/>
      <c r="AL82" s="224"/>
      <c r="AM82" s="224"/>
      <c r="AN82" s="224"/>
      <c r="AO82" s="224"/>
      <c r="AP82" s="225">
        <v>0.50280000000000002</v>
      </c>
      <c r="AQ82" s="224"/>
      <c r="AR82" s="224"/>
      <c r="AS82" s="224"/>
      <c r="AT82" s="224"/>
      <c r="AU82" s="224"/>
      <c r="AV82" s="224"/>
      <c r="AW82" s="224"/>
      <c r="AX82" s="224"/>
      <c r="AY82" s="224"/>
      <c r="AZ82" s="224"/>
      <c r="BA82" s="224"/>
      <c r="BB82" s="224"/>
      <c r="BC82" s="224"/>
      <c r="BD82" s="224"/>
      <c r="BE82" s="224"/>
      <c r="BF82" s="224"/>
      <c r="BG82" s="224"/>
      <c r="BH82" s="224"/>
      <c r="BI82" s="224"/>
      <c r="BJ82" s="225">
        <v>0.50280000000000002</v>
      </c>
      <c r="BK82" s="224"/>
      <c r="BL82" s="224"/>
      <c r="BM82" s="224"/>
      <c r="BN82" s="224"/>
      <c r="BO82" s="224"/>
      <c r="BP82" s="224"/>
      <c r="BQ82" s="224"/>
      <c r="BR82" s="224"/>
      <c r="BS82" s="224"/>
      <c r="BT82" s="224"/>
      <c r="BU82" s="224"/>
      <c r="BV82" s="224"/>
      <c r="BW82" s="224"/>
      <c r="BX82" s="224"/>
      <c r="BY82" s="224"/>
      <c r="BZ82" s="224"/>
      <c r="CA82" s="224"/>
      <c r="CB82" s="224"/>
      <c r="CC82" s="224"/>
      <c r="CD82" s="226">
        <v>0.50280000000000002</v>
      </c>
    </row>
    <row r="83" spans="1:82" x14ac:dyDescent="0.3">
      <c r="A83" s="221" t="str">
        <f t="shared" si="3"/>
        <v>ADDLearningPostdoctoral Research Fellowships in Biology (PRFB)Total</v>
      </c>
      <c r="B83" s="6" t="s">
        <v>81</v>
      </c>
      <c r="C83" s="6" t="s">
        <v>133</v>
      </c>
      <c r="D83" s="224" t="s">
        <v>154</v>
      </c>
      <c r="E83" s="6" t="s">
        <v>24</v>
      </c>
      <c r="F83" s="225">
        <v>14.60859</v>
      </c>
      <c r="G83" s="225">
        <v>0</v>
      </c>
      <c r="H83" s="225">
        <v>0</v>
      </c>
      <c r="I83" s="225">
        <v>3.4289999999999998</v>
      </c>
      <c r="J83" s="225">
        <v>0</v>
      </c>
      <c r="K83" s="224"/>
      <c r="L83" s="225">
        <v>18.037590000000002</v>
      </c>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224"/>
      <c r="AK83" s="224"/>
      <c r="AL83" s="224"/>
      <c r="AM83" s="224"/>
      <c r="AN83" s="224"/>
      <c r="AO83" s="224"/>
      <c r="AP83" s="224"/>
      <c r="AQ83" s="224"/>
      <c r="AR83" s="224"/>
      <c r="AS83" s="224"/>
      <c r="AT83" s="224"/>
      <c r="AU83" s="224"/>
      <c r="AV83" s="224"/>
      <c r="AW83" s="224"/>
      <c r="AX83" s="224"/>
      <c r="AY83" s="224"/>
      <c r="AZ83" s="224"/>
      <c r="BA83" s="224"/>
      <c r="BB83" s="224"/>
      <c r="BC83" s="224"/>
      <c r="BD83" s="224"/>
      <c r="BE83" s="224"/>
      <c r="BF83" s="224"/>
      <c r="BG83" s="224"/>
      <c r="BH83" s="224"/>
      <c r="BI83" s="224"/>
      <c r="BJ83" s="225">
        <v>18.037590000000002</v>
      </c>
      <c r="BK83" s="224"/>
      <c r="BL83" s="224"/>
      <c r="BM83" s="224"/>
      <c r="BN83" s="224"/>
      <c r="BO83" s="224"/>
      <c r="BP83" s="224"/>
      <c r="BQ83" s="224"/>
      <c r="BR83" s="224"/>
      <c r="BS83" s="224"/>
      <c r="BT83" s="224"/>
      <c r="BU83" s="224"/>
      <c r="BV83" s="224"/>
      <c r="BW83" s="224"/>
      <c r="BX83" s="224"/>
      <c r="BY83" s="224"/>
      <c r="BZ83" s="224"/>
      <c r="CA83" s="224"/>
      <c r="CB83" s="224"/>
      <c r="CC83" s="224"/>
      <c r="CD83" s="226">
        <v>18.037590000000002</v>
      </c>
    </row>
    <row r="84" spans="1:82" x14ac:dyDescent="0.3">
      <c r="A84" s="221" t="str">
        <f t="shared" si="3"/>
        <v>ADDLearningProject &amp; Program Evaluation (PPE)Total</v>
      </c>
      <c r="B84" s="6" t="s">
        <v>81</v>
      </c>
      <c r="C84" s="6" t="s">
        <v>133</v>
      </c>
      <c r="D84" s="224" t="s">
        <v>155</v>
      </c>
      <c r="E84" s="6" t="s">
        <v>24</v>
      </c>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c r="AZ84" s="224"/>
      <c r="BA84" s="224"/>
      <c r="BB84" s="224"/>
      <c r="BC84" s="224"/>
      <c r="BD84" s="224"/>
      <c r="BE84" s="224"/>
      <c r="BF84" s="224"/>
      <c r="BG84" s="224"/>
      <c r="BH84" s="224"/>
      <c r="BI84" s="224"/>
      <c r="BJ84" s="224"/>
      <c r="BK84" s="225">
        <v>0</v>
      </c>
      <c r="BL84" s="225">
        <v>0</v>
      </c>
      <c r="BM84" s="224"/>
      <c r="BN84" s="224"/>
      <c r="BO84" s="224"/>
      <c r="BP84" s="225">
        <v>0</v>
      </c>
      <c r="BQ84" s="225">
        <v>0</v>
      </c>
      <c r="BR84" s="224"/>
      <c r="BS84" s="224"/>
      <c r="BT84" s="224"/>
      <c r="BU84" s="224"/>
      <c r="BV84" s="224"/>
      <c r="BW84" s="224"/>
      <c r="BX84" s="224"/>
      <c r="BY84" s="224"/>
      <c r="BZ84" s="224"/>
      <c r="CA84" s="224"/>
      <c r="CB84" s="224"/>
      <c r="CC84" s="224"/>
      <c r="CD84" s="226">
        <v>0</v>
      </c>
    </row>
    <row r="85" spans="1:82" x14ac:dyDescent="0.3">
      <c r="A85" s="221" t="str">
        <f t="shared" si="3"/>
        <v>ADDLearningResearch and Mentoring for Postbaccalaureates in Biological Sciences (RaMP)Total</v>
      </c>
      <c r="B85" s="6" t="s">
        <v>81</v>
      </c>
      <c r="C85" s="6" t="s">
        <v>133</v>
      </c>
      <c r="D85" s="224" t="s">
        <v>156</v>
      </c>
      <c r="E85" s="6" t="s">
        <v>24</v>
      </c>
      <c r="F85" s="225">
        <v>7.51633</v>
      </c>
      <c r="G85" s="225">
        <v>6.9398270000000002</v>
      </c>
      <c r="H85" s="225">
        <v>3.57857</v>
      </c>
      <c r="I85" s="225">
        <v>6.9398270000000002</v>
      </c>
      <c r="J85" s="225">
        <v>7.5</v>
      </c>
      <c r="K85" s="224"/>
      <c r="L85" s="225">
        <v>32.474553999999998</v>
      </c>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4"/>
      <c r="BI85" s="224"/>
      <c r="BJ85" s="225">
        <v>32.474553999999998</v>
      </c>
      <c r="BK85" s="224"/>
      <c r="BL85" s="224"/>
      <c r="BM85" s="224"/>
      <c r="BN85" s="224"/>
      <c r="BO85" s="224"/>
      <c r="BP85" s="224"/>
      <c r="BQ85" s="224"/>
      <c r="BR85" s="224"/>
      <c r="BS85" s="224"/>
      <c r="BT85" s="224"/>
      <c r="BU85" s="224"/>
      <c r="BV85" s="224"/>
      <c r="BW85" s="224"/>
      <c r="BX85" s="224"/>
      <c r="BY85" s="224"/>
      <c r="BZ85" s="224"/>
      <c r="CA85" s="224"/>
      <c r="CB85" s="224"/>
      <c r="CC85" s="224"/>
      <c r="CD85" s="226">
        <v>32.474553999999998</v>
      </c>
    </row>
    <row r="86" spans="1:82" x14ac:dyDescent="0.3">
      <c r="A86" s="221" t="str">
        <f t="shared" si="3"/>
        <v>ADDLearningResearch Experiences for Teachers (RET)Total</v>
      </c>
      <c r="B86" s="6" t="s">
        <v>81</v>
      </c>
      <c r="C86" s="6" t="s">
        <v>133</v>
      </c>
      <c r="D86" s="224" t="s">
        <v>157</v>
      </c>
      <c r="E86" s="6" t="s">
        <v>24</v>
      </c>
      <c r="F86" s="225">
        <v>0.9698</v>
      </c>
      <c r="G86" s="225">
        <v>1.3331249999999999</v>
      </c>
      <c r="H86" s="225">
        <v>0.93574500000000005</v>
      </c>
      <c r="I86" s="225">
        <v>1.1195729999999999</v>
      </c>
      <c r="J86" s="225">
        <v>0.98514500000000005</v>
      </c>
      <c r="K86" s="224"/>
      <c r="L86" s="225">
        <v>5.343388</v>
      </c>
      <c r="M86" s="225">
        <v>0.62</v>
      </c>
      <c r="N86" s="225">
        <v>1.0827</v>
      </c>
      <c r="O86" s="225">
        <v>0.8</v>
      </c>
      <c r="P86" s="224"/>
      <c r="Q86" s="225">
        <v>1.7999999999999999E-2</v>
      </c>
      <c r="R86" s="224"/>
      <c r="S86" s="225">
        <v>2.5207000000000002</v>
      </c>
      <c r="T86" s="225">
        <v>1.24E-2</v>
      </c>
      <c r="U86" s="225">
        <v>8.5190000000000002E-2</v>
      </c>
      <c r="V86" s="225">
        <v>0.02</v>
      </c>
      <c r="W86" s="225">
        <v>4.8207420000000001</v>
      </c>
      <c r="X86" s="224"/>
      <c r="Y86" s="224"/>
      <c r="Z86" s="224"/>
      <c r="AA86" s="225">
        <v>4.9383319999999999</v>
      </c>
      <c r="AB86" s="224"/>
      <c r="AC86" s="224"/>
      <c r="AD86" s="225">
        <v>3.5975E-2</v>
      </c>
      <c r="AE86" s="224"/>
      <c r="AF86" s="225">
        <v>0</v>
      </c>
      <c r="AG86" s="224"/>
      <c r="AH86" s="225">
        <v>3.5975E-2</v>
      </c>
      <c r="AI86" s="225">
        <v>0.101203</v>
      </c>
      <c r="AJ86" s="225">
        <v>3.9140000000000001E-2</v>
      </c>
      <c r="AK86" s="225">
        <v>0.253</v>
      </c>
      <c r="AL86" s="224"/>
      <c r="AM86" s="224"/>
      <c r="AN86" s="225">
        <v>6.5562999999999996E-2</v>
      </c>
      <c r="AO86" s="224"/>
      <c r="AP86" s="225">
        <v>0.45890599999999998</v>
      </c>
      <c r="AQ86" s="224"/>
      <c r="AR86" s="224"/>
      <c r="AS86" s="224"/>
      <c r="AT86" s="224"/>
      <c r="AU86" s="224"/>
      <c r="AV86" s="224"/>
      <c r="AW86" s="224"/>
      <c r="AX86" s="224"/>
      <c r="AY86" s="224"/>
      <c r="AZ86" s="224"/>
      <c r="BA86" s="224"/>
      <c r="BB86" s="224"/>
      <c r="BC86" s="224"/>
      <c r="BD86" s="224"/>
      <c r="BE86" s="224"/>
      <c r="BF86" s="224"/>
      <c r="BG86" s="224"/>
      <c r="BH86" s="224"/>
      <c r="BI86" s="224"/>
      <c r="BJ86" s="225">
        <v>13.297300999999999</v>
      </c>
      <c r="BK86" s="224"/>
      <c r="BL86" s="224"/>
      <c r="BM86" s="224"/>
      <c r="BN86" s="224"/>
      <c r="BO86" s="224"/>
      <c r="BP86" s="224"/>
      <c r="BQ86" s="224"/>
      <c r="BR86" s="224"/>
      <c r="BS86" s="224"/>
      <c r="BT86" s="224"/>
      <c r="BU86" s="224"/>
      <c r="BV86" s="224"/>
      <c r="BW86" s="224"/>
      <c r="BX86" s="224"/>
      <c r="BY86" s="224"/>
      <c r="BZ86" s="224"/>
      <c r="CA86" s="224"/>
      <c r="CB86" s="224"/>
      <c r="CC86" s="224"/>
      <c r="CD86" s="226">
        <v>13.297300999999999</v>
      </c>
    </row>
    <row r="87" spans="1:82" x14ac:dyDescent="0.3">
      <c r="A87" s="221" t="str">
        <f t="shared" si="3"/>
        <v>ADDLearningResearch Experiences for Undergraduates (REU) SitesTotal</v>
      </c>
      <c r="B87" s="6" t="s">
        <v>81</v>
      </c>
      <c r="C87" s="6" t="s">
        <v>133</v>
      </c>
      <c r="D87" s="224" t="s">
        <v>158</v>
      </c>
      <c r="E87" s="6" t="s">
        <v>24</v>
      </c>
      <c r="F87" s="225">
        <v>8.4335699999999996</v>
      </c>
      <c r="G87" s="225">
        <v>0.02</v>
      </c>
      <c r="H87" s="224"/>
      <c r="I87" s="225">
        <v>8.6164000000000004E-2</v>
      </c>
      <c r="J87" s="225">
        <v>0</v>
      </c>
      <c r="K87" s="224"/>
      <c r="L87" s="225">
        <v>8.5397339999999993</v>
      </c>
      <c r="M87" s="225">
        <v>2.9523510000000002</v>
      </c>
      <c r="N87" s="225">
        <v>2.985322</v>
      </c>
      <c r="O87" s="225">
        <v>3.542735</v>
      </c>
      <c r="P87" s="224"/>
      <c r="Q87" s="225">
        <v>2.3049710000000001</v>
      </c>
      <c r="R87" s="224"/>
      <c r="S87" s="225">
        <v>11.785379000000001</v>
      </c>
      <c r="T87" s="225">
        <v>0</v>
      </c>
      <c r="U87" s="224"/>
      <c r="V87" s="224"/>
      <c r="W87" s="225">
        <v>11.173276</v>
      </c>
      <c r="X87" s="224"/>
      <c r="Y87" s="224"/>
      <c r="Z87" s="224"/>
      <c r="AA87" s="225">
        <v>11.173276</v>
      </c>
      <c r="AB87" s="225">
        <v>1.9514130000000001</v>
      </c>
      <c r="AC87" s="225">
        <v>2.3845429999999999</v>
      </c>
      <c r="AD87" s="225">
        <v>4.0713210000000002</v>
      </c>
      <c r="AE87" s="225">
        <v>0.115358</v>
      </c>
      <c r="AF87" s="225">
        <v>8.0000000000000002E-3</v>
      </c>
      <c r="AG87" s="224"/>
      <c r="AH87" s="225">
        <v>8.5306350000000002</v>
      </c>
      <c r="AI87" s="225">
        <v>1.887904</v>
      </c>
      <c r="AJ87" s="225">
        <v>2.4460000000000002</v>
      </c>
      <c r="AK87" s="225">
        <v>5.381138</v>
      </c>
      <c r="AL87" s="225">
        <v>3.4639579999999999</v>
      </c>
      <c r="AM87" s="225">
        <v>0.45791799999999999</v>
      </c>
      <c r="AN87" s="225">
        <v>3.5173109999999999</v>
      </c>
      <c r="AO87" s="224"/>
      <c r="AP87" s="225">
        <v>17.154229000000001</v>
      </c>
      <c r="AQ87" s="224"/>
      <c r="AR87" s="224"/>
      <c r="AS87" s="225">
        <v>3.2276560000000001</v>
      </c>
      <c r="AT87" s="224"/>
      <c r="AU87" s="224"/>
      <c r="AV87" s="225">
        <v>3.2276560000000001</v>
      </c>
      <c r="AW87" s="224"/>
      <c r="AX87" s="224"/>
      <c r="AY87" s="224"/>
      <c r="AZ87" s="224"/>
      <c r="BA87" s="224"/>
      <c r="BB87" s="224"/>
      <c r="BC87" s="224"/>
      <c r="BD87" s="224"/>
      <c r="BE87" s="224"/>
      <c r="BF87" s="224"/>
      <c r="BG87" s="224"/>
      <c r="BH87" s="224"/>
      <c r="BI87" s="224"/>
      <c r="BJ87" s="225">
        <v>60.410908999999997</v>
      </c>
      <c r="BK87" s="224"/>
      <c r="BL87" s="224"/>
      <c r="BM87" s="224"/>
      <c r="BN87" s="224"/>
      <c r="BO87" s="224"/>
      <c r="BP87" s="224"/>
      <c r="BQ87" s="224"/>
      <c r="BR87" s="224"/>
      <c r="BS87" s="224"/>
      <c r="BT87" s="224"/>
      <c r="BU87" s="224"/>
      <c r="BV87" s="224"/>
      <c r="BW87" s="224"/>
      <c r="BX87" s="224"/>
      <c r="BY87" s="224"/>
      <c r="BZ87" s="224"/>
      <c r="CA87" s="224"/>
      <c r="CB87" s="224"/>
      <c r="CC87" s="224"/>
      <c r="CD87" s="226">
        <v>60.410908999999997</v>
      </c>
    </row>
    <row r="88" spans="1:82" x14ac:dyDescent="0.3">
      <c r="A88" s="221" t="str">
        <f t="shared" si="3"/>
        <v>ADDLearningResearch Experiences for Undergraduates (REU) SupplementsTotal</v>
      </c>
      <c r="B88" s="6" t="s">
        <v>81</v>
      </c>
      <c r="C88" s="6" t="s">
        <v>133</v>
      </c>
      <c r="D88" s="224" t="s">
        <v>159</v>
      </c>
      <c r="E88" s="6" t="s">
        <v>24</v>
      </c>
      <c r="F88" s="225">
        <v>0.233567</v>
      </c>
      <c r="G88" s="225">
        <v>1.5385150000000001</v>
      </c>
      <c r="H88" s="224"/>
      <c r="I88" s="225">
        <v>0.85624100000000003</v>
      </c>
      <c r="J88" s="225">
        <v>1.2287699999999999</v>
      </c>
      <c r="K88" s="224"/>
      <c r="L88" s="225">
        <v>3.8570929999999999</v>
      </c>
      <c r="M88" s="225">
        <v>1.540349</v>
      </c>
      <c r="N88" s="225">
        <v>3.046818</v>
      </c>
      <c r="O88" s="225">
        <v>2.3078129999999999</v>
      </c>
      <c r="P88" s="225">
        <v>0</v>
      </c>
      <c r="Q88" s="225">
        <v>0.417354</v>
      </c>
      <c r="R88" s="224"/>
      <c r="S88" s="225">
        <v>7.3123339999999999</v>
      </c>
      <c r="T88" s="225">
        <v>1.0019309999999999</v>
      </c>
      <c r="U88" s="225">
        <v>2.462326</v>
      </c>
      <c r="V88" s="225">
        <v>0.54686599999999996</v>
      </c>
      <c r="W88" s="225">
        <v>7.0699999999999999E-2</v>
      </c>
      <c r="X88" s="224"/>
      <c r="Y88" s="225">
        <v>0</v>
      </c>
      <c r="Z88" s="224"/>
      <c r="AA88" s="225">
        <v>4.081823</v>
      </c>
      <c r="AB88" s="225">
        <v>0.31173299999999998</v>
      </c>
      <c r="AC88" s="225">
        <v>0.215088</v>
      </c>
      <c r="AD88" s="225">
        <v>0.372249</v>
      </c>
      <c r="AE88" s="225">
        <v>1.204E-3</v>
      </c>
      <c r="AF88" s="225">
        <v>0.13660700000000001</v>
      </c>
      <c r="AG88" s="224"/>
      <c r="AH88" s="225">
        <v>1.0368809999999999</v>
      </c>
      <c r="AI88" s="225">
        <v>0.108088</v>
      </c>
      <c r="AJ88" s="225">
        <v>1.0457590000000001</v>
      </c>
      <c r="AK88" s="225">
        <v>0.107572</v>
      </c>
      <c r="AL88" s="225">
        <v>0.87285000000000001</v>
      </c>
      <c r="AM88" s="225">
        <v>0.24818200000000001</v>
      </c>
      <c r="AN88" s="225">
        <v>0.50893500000000003</v>
      </c>
      <c r="AO88" s="224"/>
      <c r="AP88" s="225">
        <v>2.8913859999999998</v>
      </c>
      <c r="AQ88" s="225">
        <v>0.839893</v>
      </c>
      <c r="AR88" s="224"/>
      <c r="AS88" s="225">
        <v>8.0999999999999996E-3</v>
      </c>
      <c r="AT88" s="225">
        <v>0.13932</v>
      </c>
      <c r="AU88" s="224"/>
      <c r="AV88" s="225">
        <v>0.987313</v>
      </c>
      <c r="AW88" s="224"/>
      <c r="AX88" s="224"/>
      <c r="AY88" s="224"/>
      <c r="AZ88" s="224"/>
      <c r="BA88" s="224"/>
      <c r="BB88" s="224"/>
      <c r="BC88" s="224"/>
      <c r="BD88" s="224"/>
      <c r="BE88" s="224"/>
      <c r="BF88" s="224"/>
      <c r="BG88" s="224"/>
      <c r="BH88" s="224"/>
      <c r="BI88" s="224"/>
      <c r="BJ88" s="225">
        <v>20.166830000000001</v>
      </c>
      <c r="BK88" s="224"/>
      <c r="BL88" s="224"/>
      <c r="BM88" s="224"/>
      <c r="BN88" s="224"/>
      <c r="BO88" s="224"/>
      <c r="BP88" s="224"/>
      <c r="BQ88" s="224"/>
      <c r="BR88" s="224"/>
      <c r="BS88" s="224"/>
      <c r="BT88" s="224"/>
      <c r="BU88" s="224"/>
      <c r="BV88" s="224"/>
      <c r="BW88" s="224"/>
      <c r="BX88" s="224"/>
      <c r="BY88" s="224"/>
      <c r="BZ88" s="224"/>
      <c r="CA88" s="224"/>
      <c r="CB88" s="224"/>
      <c r="CC88" s="224"/>
      <c r="CD88" s="226">
        <v>20.166830000000001</v>
      </c>
    </row>
    <row r="89" spans="1:82" x14ac:dyDescent="0.3">
      <c r="A89" s="221" t="str">
        <f t="shared" si="3"/>
        <v>ADDLearningResearch Investment Communications (RIC)Total</v>
      </c>
      <c r="B89" s="6" t="s">
        <v>81</v>
      </c>
      <c r="C89" s="6" t="s">
        <v>133</v>
      </c>
      <c r="D89" s="224" t="s">
        <v>160</v>
      </c>
      <c r="E89" s="6" t="s">
        <v>24</v>
      </c>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4"/>
      <c r="AI89" s="224"/>
      <c r="AJ89" s="224"/>
      <c r="AK89" s="224"/>
      <c r="AL89" s="224"/>
      <c r="AM89" s="224"/>
      <c r="AN89" s="224"/>
      <c r="AO89" s="224"/>
      <c r="AP89" s="224"/>
      <c r="AQ89" s="224"/>
      <c r="AR89" s="224"/>
      <c r="AS89" s="224"/>
      <c r="AT89" s="224"/>
      <c r="AU89" s="224"/>
      <c r="AV89" s="224"/>
      <c r="AW89" s="224"/>
      <c r="AX89" s="224"/>
      <c r="AY89" s="224"/>
      <c r="AZ89" s="224"/>
      <c r="BA89" s="224"/>
      <c r="BB89" s="224"/>
      <c r="BC89" s="224"/>
      <c r="BD89" s="225">
        <v>5.4619270000000002</v>
      </c>
      <c r="BE89" s="225">
        <v>5.4619270000000002</v>
      </c>
      <c r="BF89" s="224"/>
      <c r="BG89" s="224"/>
      <c r="BH89" s="224"/>
      <c r="BI89" s="224"/>
      <c r="BJ89" s="225">
        <v>5.4619270000000002</v>
      </c>
      <c r="BK89" s="224"/>
      <c r="BL89" s="224"/>
      <c r="BM89" s="224"/>
      <c r="BN89" s="224"/>
      <c r="BO89" s="224"/>
      <c r="BP89" s="224"/>
      <c r="BQ89" s="224"/>
      <c r="BR89" s="224"/>
      <c r="BS89" s="224"/>
      <c r="BT89" s="224"/>
      <c r="BU89" s="224"/>
      <c r="BV89" s="224"/>
      <c r="BW89" s="224"/>
      <c r="BX89" s="224"/>
      <c r="BY89" s="224"/>
      <c r="BZ89" s="224"/>
      <c r="CA89" s="224"/>
      <c r="CB89" s="224"/>
      <c r="CC89" s="224"/>
      <c r="CD89" s="226">
        <v>5.4619270000000002</v>
      </c>
    </row>
    <row r="90" spans="1:82" x14ac:dyDescent="0.3">
      <c r="A90" s="221" t="str">
        <f t="shared" si="3"/>
        <v>ADDLearningRobert Noyce Teacher Scholarship Program (NOYCE)Total</v>
      </c>
      <c r="B90" s="6" t="s">
        <v>81</v>
      </c>
      <c r="C90" s="6" t="s">
        <v>133</v>
      </c>
      <c r="D90" s="224" t="s">
        <v>161</v>
      </c>
      <c r="E90" s="6" t="s">
        <v>24</v>
      </c>
      <c r="F90" s="224"/>
      <c r="G90" s="224"/>
      <c r="H90" s="224"/>
      <c r="I90" s="224"/>
      <c r="J90" s="224"/>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4"/>
      <c r="AZ90" s="224"/>
      <c r="BA90" s="224"/>
      <c r="BB90" s="224"/>
      <c r="BC90" s="224"/>
      <c r="BD90" s="224"/>
      <c r="BE90" s="224"/>
      <c r="BF90" s="224"/>
      <c r="BG90" s="224"/>
      <c r="BH90" s="224"/>
      <c r="BI90" s="224"/>
      <c r="BJ90" s="224"/>
      <c r="BK90" s="224"/>
      <c r="BL90" s="224"/>
      <c r="BM90" s="225">
        <v>66.997625999999997</v>
      </c>
      <c r="BN90" s="224"/>
      <c r="BO90" s="224"/>
      <c r="BP90" s="225">
        <v>66.997625999999997</v>
      </c>
      <c r="BQ90" s="225">
        <v>66.997625999999997</v>
      </c>
      <c r="BR90" s="224"/>
      <c r="BS90" s="224"/>
      <c r="BT90" s="224"/>
      <c r="BU90" s="224"/>
      <c r="BV90" s="224"/>
      <c r="BW90" s="224"/>
      <c r="BX90" s="224"/>
      <c r="BY90" s="224"/>
      <c r="BZ90" s="224"/>
      <c r="CA90" s="224"/>
      <c r="CB90" s="224"/>
      <c r="CC90" s="224"/>
      <c r="CD90" s="226">
        <v>66.997625999999997</v>
      </c>
    </row>
    <row r="91" spans="1:82" x14ac:dyDescent="0.3">
      <c r="A91" s="221" t="str">
        <f t="shared" si="3"/>
        <v>ADDLearningRobert Noyce Teacher Scholarship Program (NOYCE)Noyce Scholarships</v>
      </c>
      <c r="B91" s="6" t="s">
        <v>81</v>
      </c>
      <c r="C91" s="6" t="s">
        <v>133</v>
      </c>
      <c r="D91" s="224" t="s">
        <v>161</v>
      </c>
      <c r="E91" s="224" t="s">
        <v>162</v>
      </c>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4"/>
      <c r="BI91" s="224"/>
      <c r="BJ91" s="224"/>
      <c r="BK91" s="224"/>
      <c r="BL91" s="224"/>
      <c r="BM91" s="225">
        <v>41.764991999999999</v>
      </c>
      <c r="BN91" s="224"/>
      <c r="BO91" s="224"/>
      <c r="BP91" s="225">
        <v>41.764991999999999</v>
      </c>
      <c r="BQ91" s="225">
        <v>41.764991999999999</v>
      </c>
      <c r="BR91" s="224"/>
      <c r="BS91" s="224"/>
      <c r="BT91" s="224"/>
      <c r="BU91" s="224"/>
      <c r="BV91" s="224"/>
      <c r="BW91" s="224"/>
      <c r="BX91" s="224"/>
      <c r="BY91" s="224"/>
      <c r="BZ91" s="224"/>
      <c r="CA91" s="224"/>
      <c r="CB91" s="224"/>
      <c r="CC91" s="224"/>
      <c r="CD91" s="226">
        <v>41.764991999999999</v>
      </c>
    </row>
    <row r="92" spans="1:82" x14ac:dyDescent="0.3">
      <c r="A92" s="221" t="str">
        <f t="shared" si="3"/>
        <v>ADDLearningRobert Noyce Teacher Scholarship Program (NOYCE)Noyce Teaching &amp; Master Teaching Fellows (10A)</v>
      </c>
      <c r="B92" s="6" t="s">
        <v>81</v>
      </c>
      <c r="C92" s="6" t="s">
        <v>133</v>
      </c>
      <c r="D92" s="224" t="s">
        <v>161</v>
      </c>
      <c r="E92" s="224" t="s">
        <v>163</v>
      </c>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4"/>
      <c r="BI92" s="224"/>
      <c r="BJ92" s="224"/>
      <c r="BK92" s="224"/>
      <c r="BL92" s="224"/>
      <c r="BM92" s="225">
        <v>25.232634000000001</v>
      </c>
      <c r="BN92" s="224"/>
      <c r="BO92" s="224"/>
      <c r="BP92" s="225">
        <v>25.232634000000001</v>
      </c>
      <c r="BQ92" s="225">
        <v>25.232634000000001</v>
      </c>
      <c r="BR92" s="224"/>
      <c r="BS92" s="224"/>
      <c r="BT92" s="224"/>
      <c r="BU92" s="224"/>
      <c r="BV92" s="224"/>
      <c r="BW92" s="224"/>
      <c r="BX92" s="224"/>
      <c r="BY92" s="224"/>
      <c r="BZ92" s="224"/>
      <c r="CA92" s="224"/>
      <c r="CB92" s="224"/>
      <c r="CC92" s="224"/>
      <c r="CD92" s="226">
        <v>25.232634000000001</v>
      </c>
    </row>
    <row r="93" spans="1:82" x14ac:dyDescent="0.3">
      <c r="A93" s="221" t="str">
        <f t="shared" si="3"/>
        <v>ADDLearningSPRF - Fundamental Research (SPRF-FR)Total</v>
      </c>
      <c r="B93" s="6" t="s">
        <v>81</v>
      </c>
      <c r="C93" s="6" t="s">
        <v>133</v>
      </c>
      <c r="D93" s="224" t="s">
        <v>164</v>
      </c>
      <c r="E93" s="6" t="s">
        <v>24</v>
      </c>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5">
        <v>1.5538000000000001</v>
      </c>
      <c r="AT93" s="224"/>
      <c r="AU93" s="224"/>
      <c r="AV93" s="225">
        <v>1.5538000000000001</v>
      </c>
      <c r="AW93" s="224"/>
      <c r="AX93" s="224"/>
      <c r="AY93" s="224"/>
      <c r="AZ93" s="224"/>
      <c r="BA93" s="224"/>
      <c r="BB93" s="224"/>
      <c r="BC93" s="224"/>
      <c r="BD93" s="224"/>
      <c r="BE93" s="224"/>
      <c r="BF93" s="224"/>
      <c r="BG93" s="224"/>
      <c r="BH93" s="224"/>
      <c r="BI93" s="224"/>
      <c r="BJ93" s="225">
        <v>1.5538000000000001</v>
      </c>
      <c r="BK93" s="224"/>
      <c r="BL93" s="224"/>
      <c r="BM93" s="224"/>
      <c r="BN93" s="224"/>
      <c r="BO93" s="224"/>
      <c r="BP93" s="224"/>
      <c r="BQ93" s="224"/>
      <c r="BR93" s="224"/>
      <c r="BS93" s="224"/>
      <c r="BT93" s="224"/>
      <c r="BU93" s="224"/>
      <c r="BV93" s="224"/>
      <c r="BW93" s="224"/>
      <c r="BX93" s="224"/>
      <c r="BY93" s="224"/>
      <c r="BZ93" s="224"/>
      <c r="CA93" s="224"/>
      <c r="CB93" s="224"/>
      <c r="CC93" s="224"/>
      <c r="CD93" s="226">
        <v>1.5538000000000001</v>
      </c>
    </row>
    <row r="94" spans="1:82" x14ac:dyDescent="0.3">
      <c r="A94" s="221" t="str">
        <f t="shared" si="3"/>
        <v>ADDLearningSPRF-Broadening ParticipationTotal</v>
      </c>
      <c r="B94" s="6" t="s">
        <v>81</v>
      </c>
      <c r="C94" s="6" t="s">
        <v>133</v>
      </c>
      <c r="D94" s="224" t="s">
        <v>165</v>
      </c>
      <c r="E94" s="6" t="s">
        <v>24</v>
      </c>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5">
        <v>1.491762</v>
      </c>
      <c r="AT94" s="224"/>
      <c r="AU94" s="224"/>
      <c r="AV94" s="225">
        <v>1.491762</v>
      </c>
      <c r="AW94" s="224"/>
      <c r="AX94" s="224"/>
      <c r="AY94" s="224"/>
      <c r="AZ94" s="224"/>
      <c r="BA94" s="224"/>
      <c r="BB94" s="224"/>
      <c r="BC94" s="224"/>
      <c r="BD94" s="224"/>
      <c r="BE94" s="224"/>
      <c r="BF94" s="224"/>
      <c r="BG94" s="224"/>
      <c r="BH94" s="224"/>
      <c r="BI94" s="224"/>
      <c r="BJ94" s="225">
        <v>1.491762</v>
      </c>
      <c r="BK94" s="224"/>
      <c r="BL94" s="224"/>
      <c r="BM94" s="224"/>
      <c r="BN94" s="224"/>
      <c r="BO94" s="224"/>
      <c r="BP94" s="224"/>
      <c r="BQ94" s="224"/>
      <c r="BR94" s="224"/>
      <c r="BS94" s="224"/>
      <c r="BT94" s="224"/>
      <c r="BU94" s="224"/>
      <c r="BV94" s="224"/>
      <c r="BW94" s="224"/>
      <c r="BX94" s="224"/>
      <c r="BY94" s="224"/>
      <c r="BZ94" s="224"/>
      <c r="CA94" s="224"/>
      <c r="CB94" s="224"/>
      <c r="CC94" s="224"/>
      <c r="CD94" s="226">
        <v>1.491762</v>
      </c>
    </row>
    <row r="95" spans="1:82" x14ac:dyDescent="0.3">
      <c r="A95" s="221" t="str">
        <f t="shared" si="3"/>
        <v>ADDOrganizational Excellence - Program SupportTotalTotal</v>
      </c>
      <c r="B95" s="6" t="s">
        <v>81</v>
      </c>
      <c r="C95" s="6" t="s">
        <v>166</v>
      </c>
      <c r="D95" s="6" t="s">
        <v>24</v>
      </c>
      <c r="E95" s="6" t="s">
        <v>24</v>
      </c>
      <c r="F95" s="225">
        <v>3.663894</v>
      </c>
      <c r="G95" s="225">
        <v>4.25075</v>
      </c>
      <c r="H95" s="225">
        <v>1.3025530000000001</v>
      </c>
      <c r="I95" s="225">
        <v>4.4957529999999997</v>
      </c>
      <c r="J95" s="225">
        <v>3.2184080000000002</v>
      </c>
      <c r="K95" s="224"/>
      <c r="L95" s="225">
        <v>16.931357999999999</v>
      </c>
      <c r="M95" s="225">
        <v>4.928852</v>
      </c>
      <c r="N95" s="225">
        <v>7.6445889999999999</v>
      </c>
      <c r="O95" s="225">
        <v>6.3809529999999999</v>
      </c>
      <c r="P95" s="225">
        <v>2.7044820000000001</v>
      </c>
      <c r="Q95" s="225">
        <v>8.1375609999999998</v>
      </c>
      <c r="R95" s="224"/>
      <c r="S95" s="225">
        <v>29.796437000000001</v>
      </c>
      <c r="T95" s="225">
        <v>4.1959239999999998</v>
      </c>
      <c r="U95" s="225">
        <v>7.1351490000000002</v>
      </c>
      <c r="V95" s="225">
        <v>4.061553</v>
      </c>
      <c r="W95" s="225">
        <v>3.428229</v>
      </c>
      <c r="X95" s="225">
        <v>1.582436</v>
      </c>
      <c r="Y95" s="225">
        <v>4.1989999999999996E-3</v>
      </c>
      <c r="Z95" s="224"/>
      <c r="AA95" s="225">
        <v>20.407489999999999</v>
      </c>
      <c r="AB95" s="225">
        <v>5.534548</v>
      </c>
      <c r="AC95" s="225">
        <v>4.74397</v>
      </c>
      <c r="AD95" s="225">
        <v>8.0373979999999996</v>
      </c>
      <c r="AE95" s="225">
        <v>8.3410919999999997</v>
      </c>
      <c r="AF95" s="225">
        <v>2.7214700000000001</v>
      </c>
      <c r="AG95" s="224"/>
      <c r="AH95" s="225">
        <v>29.378478000000001</v>
      </c>
      <c r="AI95" s="225">
        <v>5.4716959999999997</v>
      </c>
      <c r="AJ95" s="225">
        <v>6.6115389999999996</v>
      </c>
      <c r="AK95" s="225">
        <v>6.8366939999999996</v>
      </c>
      <c r="AL95" s="225">
        <v>5.7575880000000002</v>
      </c>
      <c r="AM95" s="225">
        <v>2.4680240000000002</v>
      </c>
      <c r="AN95" s="225">
        <v>6.2526640000000002</v>
      </c>
      <c r="AO95" s="224"/>
      <c r="AP95" s="225">
        <v>33.398204999999997</v>
      </c>
      <c r="AQ95" s="225">
        <v>3.0829499999999999</v>
      </c>
      <c r="AR95" s="225">
        <v>0.82584900000000006</v>
      </c>
      <c r="AS95" s="225">
        <v>0.32974300000000001</v>
      </c>
      <c r="AT95" s="225">
        <v>3.5303849999999999</v>
      </c>
      <c r="AU95" s="224"/>
      <c r="AV95" s="225">
        <v>7.7689269999999997</v>
      </c>
      <c r="AW95" s="225">
        <v>3.573035</v>
      </c>
      <c r="AX95" s="225">
        <v>2.8640789999999998</v>
      </c>
      <c r="AY95" s="224"/>
      <c r="AZ95" s="225">
        <v>6.4371140000000002</v>
      </c>
      <c r="BA95" s="225">
        <v>1.799663</v>
      </c>
      <c r="BB95" s="225">
        <v>1.799663</v>
      </c>
      <c r="BC95" s="225">
        <v>3.6659099999999998</v>
      </c>
      <c r="BD95" s="225">
        <v>16.609145000000002</v>
      </c>
      <c r="BE95" s="225">
        <v>20.275054999999998</v>
      </c>
      <c r="BF95" s="224"/>
      <c r="BG95" s="224"/>
      <c r="BH95" s="224"/>
      <c r="BI95" s="224"/>
      <c r="BJ95" s="225">
        <v>166.19272699999999</v>
      </c>
      <c r="BK95" s="225">
        <v>7.7657210000000001</v>
      </c>
      <c r="BL95" s="225">
        <v>5.2216240000000003</v>
      </c>
      <c r="BM95" s="225">
        <v>5.4158929999999996</v>
      </c>
      <c r="BN95" s="225">
        <v>4.4185629999999998</v>
      </c>
      <c r="BO95" s="224"/>
      <c r="BP95" s="225">
        <v>22.821801000000001</v>
      </c>
      <c r="BQ95" s="225">
        <v>22.821801000000001</v>
      </c>
      <c r="BR95" s="225">
        <v>0.65017000000000003</v>
      </c>
      <c r="BS95" s="225">
        <v>0.65017000000000003</v>
      </c>
      <c r="BT95" s="225">
        <v>0.65017000000000003</v>
      </c>
      <c r="BU95" s="225">
        <v>420.21349600000002</v>
      </c>
      <c r="BV95" s="225">
        <v>420.21349600000002</v>
      </c>
      <c r="BW95" s="225">
        <v>420.21349600000002</v>
      </c>
      <c r="BX95" s="225">
        <v>18.888310000000001</v>
      </c>
      <c r="BY95" s="225">
        <v>18.888310000000001</v>
      </c>
      <c r="BZ95" s="225">
        <v>18.888310000000001</v>
      </c>
      <c r="CA95" s="225">
        <v>4.5193450000000004</v>
      </c>
      <c r="CB95" s="225">
        <v>4.5193450000000004</v>
      </c>
      <c r="CC95" s="225">
        <v>4.5193450000000004</v>
      </c>
      <c r="CD95" s="226">
        <v>633.28584899999998</v>
      </c>
    </row>
    <row r="96" spans="1:82" x14ac:dyDescent="0.3">
      <c r="A96" s="221" t="str">
        <f t="shared" si="3"/>
        <v>ADDOrganizational Excellence - Program SupportEvaluation and Assessment CapabilityTotal</v>
      </c>
      <c r="B96" s="6" t="s">
        <v>81</v>
      </c>
      <c r="C96" s="6" t="s">
        <v>166</v>
      </c>
      <c r="D96" s="224" t="s">
        <v>167</v>
      </c>
      <c r="E96" s="6" t="s">
        <v>24</v>
      </c>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5">
        <v>6.6297230000000003</v>
      </c>
      <c r="BE96" s="225">
        <v>6.6297230000000003</v>
      </c>
      <c r="BF96" s="224"/>
      <c r="BG96" s="224"/>
      <c r="BH96" s="224"/>
      <c r="BI96" s="224"/>
      <c r="BJ96" s="225">
        <v>6.6297230000000003</v>
      </c>
      <c r="BK96" s="224"/>
      <c r="BL96" s="224"/>
      <c r="BM96" s="224"/>
      <c r="BN96" s="224"/>
      <c r="BO96" s="224"/>
      <c r="BP96" s="224"/>
      <c r="BQ96" s="224"/>
      <c r="BR96" s="224"/>
      <c r="BS96" s="224"/>
      <c r="BT96" s="224"/>
      <c r="BU96" s="224"/>
      <c r="BV96" s="224"/>
      <c r="BW96" s="224"/>
      <c r="BX96" s="224"/>
      <c r="BY96" s="224"/>
      <c r="BZ96" s="224"/>
      <c r="CA96" s="224"/>
      <c r="CB96" s="224"/>
      <c r="CC96" s="224"/>
      <c r="CD96" s="226">
        <v>6.6297230000000003</v>
      </c>
    </row>
    <row r="97" spans="1:82" x14ac:dyDescent="0.3">
      <c r="A97" s="221" t="str">
        <f t="shared" si="3"/>
        <v>ADDOrganizational Excellence - Program SupportIntergovernmental Personnel Assignments (IPAs)Total</v>
      </c>
      <c r="B97" s="6" t="s">
        <v>81</v>
      </c>
      <c r="C97" s="6" t="s">
        <v>166</v>
      </c>
      <c r="D97" s="224" t="s">
        <v>168</v>
      </c>
      <c r="E97" s="6" t="s">
        <v>24</v>
      </c>
      <c r="F97" s="225">
        <v>0.80314799999999997</v>
      </c>
      <c r="G97" s="225">
        <v>1.638045</v>
      </c>
      <c r="H97" s="225">
        <v>8.5299999999999994E-3</v>
      </c>
      <c r="I97" s="225">
        <v>1.4725470000000001</v>
      </c>
      <c r="J97" s="225">
        <v>0.94454800000000005</v>
      </c>
      <c r="K97" s="224"/>
      <c r="L97" s="225">
        <v>4.8668180000000003</v>
      </c>
      <c r="M97" s="225">
        <v>2.0132759999999998</v>
      </c>
      <c r="N97" s="225">
        <v>4.1180469999999998</v>
      </c>
      <c r="O97" s="225">
        <v>3.2206709999999998</v>
      </c>
      <c r="P97" s="225">
        <v>0.91974299999999998</v>
      </c>
      <c r="Q97" s="225">
        <v>2.076451</v>
      </c>
      <c r="R97" s="224"/>
      <c r="S97" s="225">
        <v>12.348188</v>
      </c>
      <c r="T97" s="225">
        <v>1.2448090000000001</v>
      </c>
      <c r="U97" s="225">
        <v>3.6640169999999999</v>
      </c>
      <c r="V97" s="225">
        <v>2.275798</v>
      </c>
      <c r="W97" s="225">
        <v>1.5052540000000001</v>
      </c>
      <c r="X97" s="225">
        <v>0.47466199999999997</v>
      </c>
      <c r="Y97" s="225">
        <v>4.1989999999999996E-3</v>
      </c>
      <c r="Z97" s="224"/>
      <c r="AA97" s="225">
        <v>9.1687390000000004</v>
      </c>
      <c r="AB97" s="225">
        <v>1.357005</v>
      </c>
      <c r="AC97" s="225">
        <v>1.812292</v>
      </c>
      <c r="AD97" s="225">
        <v>1.9879389999999999</v>
      </c>
      <c r="AE97" s="225">
        <v>1.7541180000000001</v>
      </c>
      <c r="AF97" s="225">
        <v>1.6525000000000001E-2</v>
      </c>
      <c r="AG97" s="224"/>
      <c r="AH97" s="225">
        <v>6.9278789999999999</v>
      </c>
      <c r="AI97" s="225">
        <v>1.358412</v>
      </c>
      <c r="AJ97" s="225">
        <v>2.7754530000000002</v>
      </c>
      <c r="AK97" s="225">
        <v>1.9225699999999999</v>
      </c>
      <c r="AL97" s="225">
        <v>2.1604049999999999</v>
      </c>
      <c r="AM97" s="225">
        <v>1.3717E-2</v>
      </c>
      <c r="AN97" s="225">
        <v>1.77196</v>
      </c>
      <c r="AO97" s="224"/>
      <c r="AP97" s="225">
        <v>10.002516999999999</v>
      </c>
      <c r="AQ97" s="225">
        <v>1.5932500000000001</v>
      </c>
      <c r="AR97" s="225">
        <v>6.1510000000000002E-3</v>
      </c>
      <c r="AS97" s="225">
        <v>3.5179999999999999E-3</v>
      </c>
      <c r="AT97" s="225">
        <v>2.0200870000000002</v>
      </c>
      <c r="AU97" s="224"/>
      <c r="AV97" s="225">
        <v>3.6230060000000002</v>
      </c>
      <c r="AW97" s="225">
        <v>1.9484349999999999</v>
      </c>
      <c r="AX97" s="225">
        <v>1.384388</v>
      </c>
      <c r="AY97" s="224"/>
      <c r="AZ97" s="225">
        <v>3.3328229999999999</v>
      </c>
      <c r="BA97" s="225">
        <v>0.91019499999999998</v>
      </c>
      <c r="BB97" s="225">
        <v>0.91019499999999998</v>
      </c>
      <c r="BC97" s="225">
        <v>0.47502100000000003</v>
      </c>
      <c r="BD97" s="225">
        <v>0.38104199999999999</v>
      </c>
      <c r="BE97" s="225">
        <v>0.85606300000000002</v>
      </c>
      <c r="BF97" s="224"/>
      <c r="BG97" s="224"/>
      <c r="BH97" s="224"/>
      <c r="BI97" s="224"/>
      <c r="BJ97" s="225">
        <v>52.036228000000001</v>
      </c>
      <c r="BK97" s="225">
        <v>1.4238850000000001</v>
      </c>
      <c r="BL97" s="225">
        <v>2.1179230000000002</v>
      </c>
      <c r="BM97" s="225">
        <v>1.3711599999999999</v>
      </c>
      <c r="BN97" s="225">
        <v>1.0392440000000001</v>
      </c>
      <c r="BO97" s="224"/>
      <c r="BP97" s="225">
        <v>5.9522120000000003</v>
      </c>
      <c r="BQ97" s="225">
        <v>5.9522120000000003</v>
      </c>
      <c r="BR97" s="224"/>
      <c r="BS97" s="224"/>
      <c r="BT97" s="224"/>
      <c r="BU97" s="224"/>
      <c r="BV97" s="224"/>
      <c r="BW97" s="224"/>
      <c r="BX97" s="224"/>
      <c r="BY97" s="224"/>
      <c r="BZ97" s="224"/>
      <c r="CA97" s="224"/>
      <c r="CB97" s="224"/>
      <c r="CC97" s="224"/>
      <c r="CD97" s="226">
        <v>57.988439999999997</v>
      </c>
    </row>
    <row r="98" spans="1:82" x14ac:dyDescent="0.3">
      <c r="A98" s="221" t="str">
        <f t="shared" si="3"/>
        <v>ADDOrganizational Excellence - Program SupportMajor Facilities Administrative Reviews and AuditsTotal</v>
      </c>
      <c r="B98" s="6" t="s">
        <v>81</v>
      </c>
      <c r="C98" s="6" t="s">
        <v>166</v>
      </c>
      <c r="D98" s="224" t="s">
        <v>169</v>
      </c>
      <c r="E98" s="6" t="s">
        <v>24</v>
      </c>
      <c r="F98" s="225">
        <v>0</v>
      </c>
      <c r="G98" s="224"/>
      <c r="H98" s="224"/>
      <c r="I98" s="224"/>
      <c r="J98" s="224"/>
      <c r="K98" s="224"/>
      <c r="L98" s="225">
        <v>0</v>
      </c>
      <c r="M98" s="224"/>
      <c r="N98" s="224"/>
      <c r="O98" s="224"/>
      <c r="P98" s="224"/>
      <c r="Q98" s="225">
        <v>0</v>
      </c>
      <c r="R98" s="224"/>
      <c r="S98" s="225">
        <v>0</v>
      </c>
      <c r="T98" s="224"/>
      <c r="U98" s="224"/>
      <c r="V98" s="224"/>
      <c r="W98" s="224"/>
      <c r="X98" s="224"/>
      <c r="Y98" s="224"/>
      <c r="Z98" s="224"/>
      <c r="AA98" s="224"/>
      <c r="AB98" s="224"/>
      <c r="AC98" s="225">
        <v>0</v>
      </c>
      <c r="AD98" s="225">
        <v>0</v>
      </c>
      <c r="AE98" s="225">
        <v>0</v>
      </c>
      <c r="AF98" s="224"/>
      <c r="AG98" s="224"/>
      <c r="AH98" s="225">
        <v>0</v>
      </c>
      <c r="AI98" s="225">
        <v>0</v>
      </c>
      <c r="AJ98" s="224"/>
      <c r="AK98" s="225">
        <v>0</v>
      </c>
      <c r="AL98" s="224"/>
      <c r="AM98" s="224"/>
      <c r="AN98" s="224"/>
      <c r="AO98" s="224"/>
      <c r="AP98" s="225">
        <v>0</v>
      </c>
      <c r="AQ98" s="224"/>
      <c r="AR98" s="224"/>
      <c r="AS98" s="224"/>
      <c r="AT98" s="224"/>
      <c r="AU98" s="224"/>
      <c r="AV98" s="224"/>
      <c r="AW98" s="224"/>
      <c r="AX98" s="224"/>
      <c r="AY98" s="224"/>
      <c r="AZ98" s="224"/>
      <c r="BA98" s="224"/>
      <c r="BB98" s="224"/>
      <c r="BC98" s="224"/>
      <c r="BD98" s="224"/>
      <c r="BE98" s="224"/>
      <c r="BF98" s="224"/>
      <c r="BG98" s="224"/>
      <c r="BH98" s="224"/>
      <c r="BI98" s="224"/>
      <c r="BJ98" s="225">
        <v>0</v>
      </c>
      <c r="BK98" s="224"/>
      <c r="BL98" s="224"/>
      <c r="BM98" s="224"/>
      <c r="BN98" s="224"/>
      <c r="BO98" s="224"/>
      <c r="BP98" s="224"/>
      <c r="BQ98" s="224"/>
      <c r="BR98" s="225">
        <v>0.65017000000000003</v>
      </c>
      <c r="BS98" s="225">
        <v>0.65017000000000003</v>
      </c>
      <c r="BT98" s="225">
        <v>0.65017000000000003</v>
      </c>
      <c r="BU98" s="225">
        <v>2.1267309999999999</v>
      </c>
      <c r="BV98" s="225">
        <v>2.1267309999999999</v>
      </c>
      <c r="BW98" s="225">
        <v>2.1267309999999999</v>
      </c>
      <c r="BX98" s="224"/>
      <c r="BY98" s="224"/>
      <c r="BZ98" s="224"/>
      <c r="CA98" s="224"/>
      <c r="CB98" s="224"/>
      <c r="CC98" s="224"/>
      <c r="CD98" s="226">
        <v>2.7769010000000001</v>
      </c>
    </row>
    <row r="99" spans="1:82" x14ac:dyDescent="0.3">
      <c r="A99" s="221" t="str">
        <f t="shared" si="3"/>
        <v>ADDOrganizational Excellence - Program SupportModeling and ForecastingTotal</v>
      </c>
      <c r="B99" s="6" t="s">
        <v>81</v>
      </c>
      <c r="C99" s="6" t="s">
        <v>166</v>
      </c>
      <c r="D99" s="224" t="s">
        <v>170</v>
      </c>
      <c r="E99" s="6" t="s">
        <v>24</v>
      </c>
      <c r="F99" s="224"/>
      <c r="G99" s="224"/>
      <c r="H99" s="224"/>
      <c r="I99" s="224"/>
      <c r="J99" s="224"/>
      <c r="K99" s="224"/>
      <c r="L99" s="224"/>
      <c r="M99" s="224"/>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5">
        <v>1.5133209999999999</v>
      </c>
      <c r="BE99" s="225">
        <v>1.5133209999999999</v>
      </c>
      <c r="BF99" s="224"/>
      <c r="BG99" s="224"/>
      <c r="BH99" s="224"/>
      <c r="BI99" s="224"/>
      <c r="BJ99" s="225">
        <v>1.5133209999999999</v>
      </c>
      <c r="BK99" s="224"/>
      <c r="BL99" s="224"/>
      <c r="BM99" s="224"/>
      <c r="BN99" s="224"/>
      <c r="BO99" s="224"/>
      <c r="BP99" s="224"/>
      <c r="BQ99" s="224"/>
      <c r="BR99" s="224"/>
      <c r="BS99" s="224"/>
      <c r="BT99" s="224"/>
      <c r="BU99" s="224"/>
      <c r="BV99" s="224"/>
      <c r="BW99" s="224"/>
      <c r="BX99" s="224"/>
      <c r="BY99" s="224"/>
      <c r="BZ99" s="224"/>
      <c r="CA99" s="224"/>
      <c r="CB99" s="224"/>
      <c r="CC99" s="224"/>
      <c r="CD99" s="226">
        <v>1.5133209999999999</v>
      </c>
    </row>
    <row r="100" spans="1:82" x14ac:dyDescent="0.3">
      <c r="A100" s="221" t="str">
        <f t="shared" si="3"/>
        <v>ADDOrganizational Excellence - Program SupportOrganizational ExcellenceTotal</v>
      </c>
      <c r="B100" s="6" t="s">
        <v>81</v>
      </c>
      <c r="C100" s="6" t="s">
        <v>166</v>
      </c>
      <c r="D100" s="224" t="s">
        <v>171</v>
      </c>
      <c r="E100" s="6" t="s">
        <v>24</v>
      </c>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4"/>
      <c r="AI100" s="224"/>
      <c r="AJ100" s="224"/>
      <c r="AK100" s="224"/>
      <c r="AL100" s="224"/>
      <c r="AM100" s="224"/>
      <c r="AN100" s="224"/>
      <c r="AO100" s="224"/>
      <c r="AP100" s="224"/>
      <c r="AQ100" s="224"/>
      <c r="AR100" s="224"/>
      <c r="AS100" s="224"/>
      <c r="AT100" s="224"/>
      <c r="AU100" s="224"/>
      <c r="AV100" s="224"/>
      <c r="AW100" s="224"/>
      <c r="AX100" s="224"/>
      <c r="AY100" s="224"/>
      <c r="AZ100" s="224"/>
      <c r="BA100" s="224"/>
      <c r="BB100" s="224"/>
      <c r="BC100" s="224"/>
      <c r="BD100" s="224"/>
      <c r="BE100" s="224"/>
      <c r="BF100" s="224"/>
      <c r="BG100" s="224"/>
      <c r="BH100" s="224"/>
      <c r="BI100" s="224"/>
      <c r="BJ100" s="224"/>
      <c r="BK100" s="224"/>
      <c r="BL100" s="224"/>
      <c r="BM100" s="224"/>
      <c r="BN100" s="224"/>
      <c r="BO100" s="224"/>
      <c r="BP100" s="224"/>
      <c r="BQ100" s="224"/>
      <c r="BR100" s="224"/>
      <c r="BS100" s="224"/>
      <c r="BT100" s="224"/>
      <c r="BU100" s="225">
        <v>418.08676500000001</v>
      </c>
      <c r="BV100" s="225">
        <v>418.08676500000001</v>
      </c>
      <c r="BW100" s="225">
        <v>418.08676500000001</v>
      </c>
      <c r="BX100" s="225">
        <v>18.888310000000001</v>
      </c>
      <c r="BY100" s="225">
        <v>18.888310000000001</v>
      </c>
      <c r="BZ100" s="225">
        <v>18.888310000000001</v>
      </c>
      <c r="CA100" s="225">
        <v>4.5193450000000004</v>
      </c>
      <c r="CB100" s="225">
        <v>4.5193450000000004</v>
      </c>
      <c r="CC100" s="225">
        <v>4.5193450000000004</v>
      </c>
      <c r="CD100" s="226">
        <v>441.49441999999999</v>
      </c>
    </row>
    <row r="101" spans="1:82" x14ac:dyDescent="0.3">
      <c r="A101" s="221" t="str">
        <f t="shared" si="3"/>
        <v>ADDOrganizational Excellence - Program SupportOrganizational Excellence Stewardship OffsetTotal</v>
      </c>
      <c r="B101" s="6" t="s">
        <v>81</v>
      </c>
      <c r="C101" s="6" t="s">
        <v>166</v>
      </c>
      <c r="D101" s="224" t="s">
        <v>172</v>
      </c>
      <c r="E101" s="6" t="s">
        <v>24</v>
      </c>
      <c r="F101" s="224"/>
      <c r="G101" s="224"/>
      <c r="H101" s="224"/>
      <c r="I101" s="224"/>
      <c r="J101" s="224"/>
      <c r="K101" s="224"/>
      <c r="L101" s="224"/>
      <c r="M101" s="224"/>
      <c r="N101" s="224"/>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5">
        <v>-0.18912599999999999</v>
      </c>
      <c r="BE101" s="225">
        <v>-0.18912599999999999</v>
      </c>
      <c r="BF101" s="224"/>
      <c r="BG101" s="224"/>
      <c r="BH101" s="224"/>
      <c r="BI101" s="224"/>
      <c r="BJ101" s="225">
        <v>-0.18912599999999999</v>
      </c>
      <c r="BK101" s="224"/>
      <c r="BL101" s="224"/>
      <c r="BM101" s="224"/>
      <c r="BN101" s="224"/>
      <c r="BO101" s="224"/>
      <c r="BP101" s="224"/>
      <c r="BQ101" s="224"/>
      <c r="BR101" s="224"/>
      <c r="BS101" s="224"/>
      <c r="BT101" s="224"/>
      <c r="BU101" s="224"/>
      <c r="BV101" s="224"/>
      <c r="BW101" s="224"/>
      <c r="BX101" s="224"/>
      <c r="BY101" s="224"/>
      <c r="BZ101" s="224"/>
      <c r="CA101" s="224"/>
      <c r="CB101" s="224"/>
      <c r="CC101" s="224"/>
      <c r="CD101" s="226">
        <v>-0.18912599999999999</v>
      </c>
    </row>
    <row r="102" spans="1:82" x14ac:dyDescent="0.3">
      <c r="A102" s="221" t="str">
        <f t="shared" si="3"/>
        <v>ADDOrganizational Excellence - Program SupportPlanning and Policy SupportTotal</v>
      </c>
      <c r="B102" s="6" t="s">
        <v>81</v>
      </c>
      <c r="C102" s="6" t="s">
        <v>166</v>
      </c>
      <c r="D102" s="224" t="s">
        <v>173</v>
      </c>
      <c r="E102" s="6" t="s">
        <v>24</v>
      </c>
      <c r="F102" s="224"/>
      <c r="G102" s="224"/>
      <c r="H102" s="224"/>
      <c r="I102" s="224"/>
      <c r="J102" s="224"/>
      <c r="K102" s="224"/>
      <c r="L102" s="224"/>
      <c r="M102" s="224"/>
      <c r="N102" s="224"/>
      <c r="O102" s="224"/>
      <c r="P102" s="224"/>
      <c r="Q102" s="224"/>
      <c r="R102" s="224"/>
      <c r="S102" s="224"/>
      <c r="T102" s="224"/>
      <c r="U102" s="224"/>
      <c r="V102" s="224"/>
      <c r="W102" s="224"/>
      <c r="X102" s="224"/>
      <c r="Y102" s="224"/>
      <c r="Z102" s="224"/>
      <c r="AA102" s="224"/>
      <c r="AB102" s="224"/>
      <c r="AC102" s="224"/>
      <c r="AD102" s="224"/>
      <c r="AE102" s="224"/>
      <c r="AF102" s="224"/>
      <c r="AG102" s="224"/>
      <c r="AH102" s="224"/>
      <c r="AI102" s="224"/>
      <c r="AJ102" s="224"/>
      <c r="AK102" s="224"/>
      <c r="AL102" s="224"/>
      <c r="AM102" s="224"/>
      <c r="AN102" s="224"/>
      <c r="AO102" s="224"/>
      <c r="AP102" s="224"/>
      <c r="AQ102" s="224"/>
      <c r="AR102" s="224"/>
      <c r="AS102" s="224"/>
      <c r="AT102" s="224"/>
      <c r="AU102" s="224"/>
      <c r="AV102" s="224"/>
      <c r="AW102" s="225">
        <v>0</v>
      </c>
      <c r="AX102" s="224"/>
      <c r="AY102" s="224"/>
      <c r="AZ102" s="225">
        <v>0</v>
      </c>
      <c r="BA102" s="224"/>
      <c r="BB102" s="224"/>
      <c r="BC102" s="224"/>
      <c r="BD102" s="225">
        <v>4.3979670000000004</v>
      </c>
      <c r="BE102" s="225">
        <v>4.3979670000000004</v>
      </c>
      <c r="BF102" s="224"/>
      <c r="BG102" s="224"/>
      <c r="BH102" s="224"/>
      <c r="BI102" s="224"/>
      <c r="BJ102" s="225">
        <v>4.3979670000000004</v>
      </c>
      <c r="BK102" s="224"/>
      <c r="BL102" s="224"/>
      <c r="BM102" s="224"/>
      <c r="BN102" s="224"/>
      <c r="BO102" s="224"/>
      <c r="BP102" s="224"/>
      <c r="BQ102" s="224"/>
      <c r="BR102" s="224"/>
      <c r="BS102" s="224"/>
      <c r="BT102" s="224"/>
      <c r="BU102" s="224"/>
      <c r="BV102" s="224"/>
      <c r="BW102" s="224"/>
      <c r="BX102" s="224"/>
      <c r="BY102" s="224"/>
      <c r="BZ102" s="224"/>
      <c r="CA102" s="224"/>
      <c r="CB102" s="224"/>
      <c r="CC102" s="224"/>
      <c r="CD102" s="226">
        <v>4.3979670000000004</v>
      </c>
    </row>
    <row r="103" spans="1:82" x14ac:dyDescent="0.3">
      <c r="A103" s="221" t="str">
        <f t="shared" si="3"/>
        <v>ADDOrganizational Excellence - Program SupportProgram Related Administration (PRA)Total</v>
      </c>
      <c r="B103" s="6" t="s">
        <v>81</v>
      </c>
      <c r="C103" s="6" t="s">
        <v>166</v>
      </c>
      <c r="D103" s="224" t="s">
        <v>174</v>
      </c>
      <c r="E103" s="6" t="s">
        <v>24</v>
      </c>
      <c r="F103" s="225">
        <v>2.8607459999999998</v>
      </c>
      <c r="G103" s="225">
        <v>2.6127050000000001</v>
      </c>
      <c r="H103" s="225">
        <v>1.2940229999999999</v>
      </c>
      <c r="I103" s="225">
        <v>3.0232060000000001</v>
      </c>
      <c r="J103" s="225">
        <v>2.27386</v>
      </c>
      <c r="K103" s="224"/>
      <c r="L103" s="225">
        <v>12.064539999999999</v>
      </c>
      <c r="M103" s="225">
        <v>2.9155760000000002</v>
      </c>
      <c r="N103" s="225">
        <v>3.5265420000000001</v>
      </c>
      <c r="O103" s="225">
        <v>3.160282</v>
      </c>
      <c r="P103" s="225">
        <v>1.7847390000000001</v>
      </c>
      <c r="Q103" s="225">
        <v>3.3440639999999999</v>
      </c>
      <c r="R103" s="224"/>
      <c r="S103" s="225">
        <v>14.731203000000001</v>
      </c>
      <c r="T103" s="225">
        <v>2.9511150000000002</v>
      </c>
      <c r="U103" s="225">
        <v>3.4711319999999999</v>
      </c>
      <c r="V103" s="225">
        <v>1.785755</v>
      </c>
      <c r="W103" s="225">
        <v>1.9229750000000001</v>
      </c>
      <c r="X103" s="225">
        <v>1.107774</v>
      </c>
      <c r="Y103" s="225">
        <v>0</v>
      </c>
      <c r="Z103" s="224"/>
      <c r="AA103" s="225">
        <v>11.238751000000001</v>
      </c>
      <c r="AB103" s="225">
        <v>4.177543</v>
      </c>
      <c r="AC103" s="225">
        <v>2.9316779999999998</v>
      </c>
      <c r="AD103" s="225">
        <v>6.0494589999999997</v>
      </c>
      <c r="AE103" s="225">
        <v>6.5869739999999997</v>
      </c>
      <c r="AF103" s="225">
        <v>1.8320259999999999</v>
      </c>
      <c r="AG103" s="224"/>
      <c r="AH103" s="225">
        <v>21.577680000000001</v>
      </c>
      <c r="AI103" s="225">
        <v>4.1132840000000002</v>
      </c>
      <c r="AJ103" s="225">
        <v>3.8360859999999999</v>
      </c>
      <c r="AK103" s="225">
        <v>4.9141240000000002</v>
      </c>
      <c r="AL103" s="225">
        <v>3.5971829999999998</v>
      </c>
      <c r="AM103" s="225">
        <v>2.454307</v>
      </c>
      <c r="AN103" s="225">
        <v>4.4807040000000002</v>
      </c>
      <c r="AO103" s="224"/>
      <c r="AP103" s="225">
        <v>23.395688</v>
      </c>
      <c r="AQ103" s="225">
        <v>1.4897</v>
      </c>
      <c r="AR103" s="225">
        <v>0.81969800000000004</v>
      </c>
      <c r="AS103" s="225">
        <v>0.32622499999999999</v>
      </c>
      <c r="AT103" s="225">
        <v>1.5102979999999999</v>
      </c>
      <c r="AU103" s="224"/>
      <c r="AV103" s="225">
        <v>4.1459210000000004</v>
      </c>
      <c r="AW103" s="225">
        <v>1.6246</v>
      </c>
      <c r="AX103" s="225">
        <v>1.4796910000000001</v>
      </c>
      <c r="AY103" s="224"/>
      <c r="AZ103" s="225">
        <v>3.1042909999999999</v>
      </c>
      <c r="BA103" s="225">
        <v>0.88946800000000004</v>
      </c>
      <c r="BB103" s="225">
        <v>0.88946800000000004</v>
      </c>
      <c r="BC103" s="225">
        <v>3.1908889999999999</v>
      </c>
      <c r="BD103" s="225">
        <v>2.608787</v>
      </c>
      <c r="BE103" s="225">
        <v>5.7996759999999998</v>
      </c>
      <c r="BF103" s="224"/>
      <c r="BG103" s="224"/>
      <c r="BH103" s="224"/>
      <c r="BI103" s="224"/>
      <c r="BJ103" s="225">
        <v>96.947218000000007</v>
      </c>
      <c r="BK103" s="225">
        <v>6.3418359999999998</v>
      </c>
      <c r="BL103" s="225">
        <v>3.103701</v>
      </c>
      <c r="BM103" s="225">
        <v>4.0447329999999999</v>
      </c>
      <c r="BN103" s="225">
        <v>3.3793190000000002</v>
      </c>
      <c r="BO103" s="224"/>
      <c r="BP103" s="225">
        <v>16.869589000000001</v>
      </c>
      <c r="BQ103" s="225">
        <v>16.869589000000001</v>
      </c>
      <c r="BR103" s="224"/>
      <c r="BS103" s="224"/>
      <c r="BT103" s="224"/>
      <c r="BU103" s="224"/>
      <c r="BV103" s="224"/>
      <c r="BW103" s="224"/>
      <c r="BX103" s="224"/>
      <c r="BY103" s="224"/>
      <c r="BZ103" s="224"/>
      <c r="CA103" s="224"/>
      <c r="CB103" s="224"/>
      <c r="CC103" s="224"/>
      <c r="CD103" s="226">
        <v>113.816807</v>
      </c>
    </row>
    <row r="104" spans="1:82" x14ac:dyDescent="0.3">
      <c r="A104" s="221" t="str">
        <f t="shared" si="3"/>
        <v>ADDOrganizational Excellence - Program SupportProgram Related Administration (PRA)Other Program Related Administration</v>
      </c>
      <c r="B104" s="6" t="s">
        <v>81</v>
      </c>
      <c r="C104" s="6" t="s">
        <v>166</v>
      </c>
      <c r="D104" s="224" t="s">
        <v>174</v>
      </c>
      <c r="E104" s="224" t="s">
        <v>175</v>
      </c>
      <c r="F104" s="225">
        <v>8.3021999999999999E-2</v>
      </c>
      <c r="G104" s="225">
        <v>7.5824000000000003E-2</v>
      </c>
      <c r="H104" s="225">
        <v>3.7553999999999997E-2</v>
      </c>
      <c r="I104" s="225">
        <v>8.7736999999999996E-2</v>
      </c>
      <c r="J104" s="225">
        <v>6.5989999999999993E-2</v>
      </c>
      <c r="K104" s="224"/>
      <c r="L104" s="225">
        <v>0.35012700000000002</v>
      </c>
      <c r="M104" s="225">
        <v>8.4612999999999994E-2</v>
      </c>
      <c r="N104" s="225">
        <v>0.102344</v>
      </c>
      <c r="O104" s="225">
        <v>9.1715000000000005E-2</v>
      </c>
      <c r="P104" s="225">
        <v>5.1795000000000001E-2</v>
      </c>
      <c r="Q104" s="225">
        <v>9.7047999999999995E-2</v>
      </c>
      <c r="R104" s="224"/>
      <c r="S104" s="225">
        <v>0.42751499999999998</v>
      </c>
      <c r="T104" s="225">
        <v>8.5644999999999999E-2</v>
      </c>
      <c r="U104" s="225">
        <v>0.10073600000000001</v>
      </c>
      <c r="V104" s="225">
        <v>5.1825000000000003E-2</v>
      </c>
      <c r="W104" s="225">
        <v>5.5807000000000002E-2</v>
      </c>
      <c r="X104" s="225">
        <v>3.2148999999999997E-2</v>
      </c>
      <c r="Y104" s="225">
        <v>0</v>
      </c>
      <c r="Z104" s="224"/>
      <c r="AA104" s="225">
        <v>0.32616200000000001</v>
      </c>
      <c r="AB104" s="225">
        <v>0.121237</v>
      </c>
      <c r="AC104" s="225">
        <v>8.5081000000000004E-2</v>
      </c>
      <c r="AD104" s="225">
        <v>0.175562</v>
      </c>
      <c r="AE104" s="225">
        <v>0</v>
      </c>
      <c r="AF104" s="225">
        <v>5.3166999999999999E-2</v>
      </c>
      <c r="AG104" s="224"/>
      <c r="AH104" s="225">
        <v>0.43504700000000002</v>
      </c>
      <c r="AI104" s="225">
        <v>0.11937200000000001</v>
      </c>
      <c r="AJ104" s="225">
        <v>0.111327</v>
      </c>
      <c r="AK104" s="225">
        <v>0.14261299999999999</v>
      </c>
      <c r="AL104" s="225">
        <v>0.104394</v>
      </c>
      <c r="AM104" s="225">
        <v>7.1226999999999999E-2</v>
      </c>
      <c r="AN104" s="225">
        <v>0.13003500000000001</v>
      </c>
      <c r="AO104" s="224"/>
      <c r="AP104" s="225">
        <v>0.67896800000000002</v>
      </c>
      <c r="AQ104" s="225">
        <v>4.3233000000000001E-2</v>
      </c>
      <c r="AR104" s="225">
        <v>2.3789000000000001E-2</v>
      </c>
      <c r="AS104" s="225">
        <v>9.4669999999999997E-3</v>
      </c>
      <c r="AT104" s="225">
        <v>4.3831000000000002E-2</v>
      </c>
      <c r="AU104" s="224"/>
      <c r="AV104" s="225">
        <v>0.12032</v>
      </c>
      <c r="AW104" s="225">
        <v>4.7148000000000002E-2</v>
      </c>
      <c r="AX104" s="225">
        <v>4.2942000000000001E-2</v>
      </c>
      <c r="AY104" s="224"/>
      <c r="AZ104" s="225">
        <v>9.0090000000000003E-2</v>
      </c>
      <c r="BA104" s="225">
        <v>2.5812999999999999E-2</v>
      </c>
      <c r="BB104" s="225">
        <v>2.5812999999999999E-2</v>
      </c>
      <c r="BC104" s="225">
        <v>9.2603000000000005E-2</v>
      </c>
      <c r="BD104" s="225">
        <v>7.571E-2</v>
      </c>
      <c r="BE104" s="225">
        <v>0.16831299999999999</v>
      </c>
      <c r="BF104" s="224"/>
      <c r="BG104" s="224"/>
      <c r="BH104" s="224"/>
      <c r="BI104" s="224"/>
      <c r="BJ104" s="225">
        <v>2.6223550000000002</v>
      </c>
      <c r="BK104" s="224"/>
      <c r="BL104" s="224"/>
      <c r="BM104" s="224"/>
      <c r="BN104" s="224"/>
      <c r="BO104" s="224"/>
      <c r="BP104" s="224"/>
      <c r="BQ104" s="224"/>
      <c r="BR104" s="224"/>
      <c r="BS104" s="224"/>
      <c r="BT104" s="224"/>
      <c r="BU104" s="224"/>
      <c r="BV104" s="224"/>
      <c r="BW104" s="224"/>
      <c r="BX104" s="224"/>
      <c r="BY104" s="224"/>
      <c r="BZ104" s="224"/>
      <c r="CA104" s="224"/>
      <c r="CB104" s="224"/>
      <c r="CC104" s="224"/>
      <c r="CD104" s="226">
        <v>2.6223550000000002</v>
      </c>
    </row>
    <row r="105" spans="1:82" x14ac:dyDescent="0.3">
      <c r="A105" s="221" t="str">
        <f t="shared" si="3"/>
        <v>ADDOrganizational Excellence - Program SupportProgram Related Administration (PRA)Program Related Technology (PRT)</v>
      </c>
      <c r="B105" s="6" t="s">
        <v>81</v>
      </c>
      <c r="C105" s="6" t="s">
        <v>166</v>
      </c>
      <c r="D105" s="224" t="s">
        <v>174</v>
      </c>
      <c r="E105" s="224" t="s">
        <v>176</v>
      </c>
      <c r="F105" s="225">
        <v>2.7777240000000001</v>
      </c>
      <c r="G105" s="225">
        <v>2.5368810000000002</v>
      </c>
      <c r="H105" s="225">
        <v>1.2564690000000001</v>
      </c>
      <c r="I105" s="225">
        <v>2.9354689999999999</v>
      </c>
      <c r="J105" s="225">
        <v>2.2078700000000002</v>
      </c>
      <c r="K105" s="224"/>
      <c r="L105" s="225">
        <v>11.714413</v>
      </c>
      <c r="M105" s="225">
        <v>2.8309630000000001</v>
      </c>
      <c r="N105" s="225">
        <v>3.4241980000000001</v>
      </c>
      <c r="O105" s="225">
        <v>3.0685669999999998</v>
      </c>
      <c r="P105" s="225">
        <v>1.732944</v>
      </c>
      <c r="Q105" s="225">
        <v>3.2470159999999999</v>
      </c>
      <c r="R105" s="224"/>
      <c r="S105" s="225">
        <v>14.303687999999999</v>
      </c>
      <c r="T105" s="225">
        <v>2.8654700000000002</v>
      </c>
      <c r="U105" s="225">
        <v>3.3703959999999999</v>
      </c>
      <c r="V105" s="225">
        <v>1.73393</v>
      </c>
      <c r="W105" s="225">
        <v>1.8671679999999999</v>
      </c>
      <c r="X105" s="225">
        <v>1.0756250000000001</v>
      </c>
      <c r="Y105" s="225">
        <v>0</v>
      </c>
      <c r="Z105" s="224"/>
      <c r="AA105" s="225">
        <v>10.912589000000001</v>
      </c>
      <c r="AB105" s="225">
        <v>4.0563060000000002</v>
      </c>
      <c r="AC105" s="225">
        <v>2.846597</v>
      </c>
      <c r="AD105" s="225">
        <v>5.8738970000000004</v>
      </c>
      <c r="AE105" s="225">
        <v>6.5869739999999997</v>
      </c>
      <c r="AF105" s="225">
        <v>1.778859</v>
      </c>
      <c r="AG105" s="224"/>
      <c r="AH105" s="225">
        <v>21.142633</v>
      </c>
      <c r="AI105" s="225">
        <v>3.9939119999999999</v>
      </c>
      <c r="AJ105" s="225">
        <v>3.7247590000000002</v>
      </c>
      <c r="AK105" s="225">
        <v>4.7715110000000003</v>
      </c>
      <c r="AL105" s="225">
        <v>3.4927890000000001</v>
      </c>
      <c r="AM105" s="225">
        <v>2.3830800000000001</v>
      </c>
      <c r="AN105" s="225">
        <v>4.3506689999999999</v>
      </c>
      <c r="AO105" s="224"/>
      <c r="AP105" s="225">
        <v>22.716719999999999</v>
      </c>
      <c r="AQ105" s="225">
        <v>1.4464669999999999</v>
      </c>
      <c r="AR105" s="225">
        <v>0.79590899999999998</v>
      </c>
      <c r="AS105" s="225">
        <v>0.31675799999999998</v>
      </c>
      <c r="AT105" s="225">
        <v>1.466467</v>
      </c>
      <c r="AU105" s="224"/>
      <c r="AV105" s="225">
        <v>4.025601</v>
      </c>
      <c r="AW105" s="225">
        <v>1.5774520000000001</v>
      </c>
      <c r="AX105" s="225">
        <v>1.4367490000000001</v>
      </c>
      <c r="AY105" s="224"/>
      <c r="AZ105" s="225">
        <v>3.0142009999999999</v>
      </c>
      <c r="BA105" s="225">
        <v>0.86365499999999995</v>
      </c>
      <c r="BB105" s="225">
        <v>0.86365499999999995</v>
      </c>
      <c r="BC105" s="225">
        <v>3.0982859999999999</v>
      </c>
      <c r="BD105" s="225">
        <v>2.533077</v>
      </c>
      <c r="BE105" s="225">
        <v>5.6313630000000003</v>
      </c>
      <c r="BF105" s="224"/>
      <c r="BG105" s="224"/>
      <c r="BH105" s="224"/>
      <c r="BI105" s="224"/>
      <c r="BJ105" s="225">
        <v>94.324862999999993</v>
      </c>
      <c r="BK105" s="225">
        <v>6.3418359999999998</v>
      </c>
      <c r="BL105" s="225">
        <v>3.103701</v>
      </c>
      <c r="BM105" s="225">
        <v>4.0447329999999999</v>
      </c>
      <c r="BN105" s="225">
        <v>3.3793190000000002</v>
      </c>
      <c r="BO105" s="224"/>
      <c r="BP105" s="225">
        <v>16.869589000000001</v>
      </c>
      <c r="BQ105" s="225">
        <v>16.869589000000001</v>
      </c>
      <c r="BR105" s="224"/>
      <c r="BS105" s="224"/>
      <c r="BT105" s="224"/>
      <c r="BU105" s="224"/>
      <c r="BV105" s="224"/>
      <c r="BW105" s="224"/>
      <c r="BX105" s="224"/>
      <c r="BY105" s="224"/>
      <c r="BZ105" s="224"/>
      <c r="CA105" s="224"/>
      <c r="CB105" s="224"/>
      <c r="CC105" s="224"/>
      <c r="CD105" s="226">
        <v>111.194452</v>
      </c>
    </row>
    <row r="106" spans="1:82" x14ac:dyDescent="0.3">
      <c r="A106" s="221" t="str">
        <f t="shared" si="3"/>
        <v>ADDOrganizational Excellence - Program SupportResearch Resources – Public Access InitiativeTotal</v>
      </c>
      <c r="B106" s="6" t="s">
        <v>81</v>
      </c>
      <c r="C106" s="6" t="s">
        <v>166</v>
      </c>
      <c r="D106" s="224" t="s">
        <v>177</v>
      </c>
      <c r="E106" s="6" t="s">
        <v>24</v>
      </c>
      <c r="F106" s="224"/>
      <c r="G106" s="224"/>
      <c r="H106" s="224"/>
      <c r="I106" s="224"/>
      <c r="J106" s="224"/>
      <c r="K106" s="224"/>
      <c r="L106" s="224"/>
      <c r="M106" s="224"/>
      <c r="N106" s="224"/>
      <c r="O106" s="224"/>
      <c r="P106" s="224"/>
      <c r="Q106" s="225">
        <v>2.7170459999999999</v>
      </c>
      <c r="R106" s="224"/>
      <c r="S106" s="225">
        <v>2.7170459999999999</v>
      </c>
      <c r="T106" s="224"/>
      <c r="U106" s="224"/>
      <c r="V106" s="224"/>
      <c r="W106" s="224"/>
      <c r="X106" s="224"/>
      <c r="Y106" s="224"/>
      <c r="Z106" s="224"/>
      <c r="AA106" s="224"/>
      <c r="AB106" s="224"/>
      <c r="AC106" s="224"/>
      <c r="AD106" s="224"/>
      <c r="AE106" s="224"/>
      <c r="AF106" s="225">
        <v>0.872919</v>
      </c>
      <c r="AG106" s="224"/>
      <c r="AH106" s="225">
        <v>0.872919</v>
      </c>
      <c r="AI106" s="224"/>
      <c r="AJ106" s="224"/>
      <c r="AK106" s="224"/>
      <c r="AL106" s="224"/>
      <c r="AM106" s="224"/>
      <c r="AN106" s="224"/>
      <c r="AO106" s="224"/>
      <c r="AP106" s="224"/>
      <c r="AQ106" s="224"/>
      <c r="AR106" s="224"/>
      <c r="AS106" s="225">
        <v>0</v>
      </c>
      <c r="AT106" s="224"/>
      <c r="AU106" s="224"/>
      <c r="AV106" s="225">
        <v>0</v>
      </c>
      <c r="AW106" s="224"/>
      <c r="AX106" s="224"/>
      <c r="AY106" s="224"/>
      <c r="AZ106" s="224"/>
      <c r="BA106" s="224"/>
      <c r="BB106" s="224"/>
      <c r="BC106" s="224"/>
      <c r="BD106" s="224"/>
      <c r="BE106" s="224"/>
      <c r="BF106" s="224"/>
      <c r="BG106" s="224"/>
      <c r="BH106" s="224"/>
      <c r="BI106" s="224"/>
      <c r="BJ106" s="225">
        <v>3.5899649999999999</v>
      </c>
      <c r="BK106" s="224"/>
      <c r="BL106" s="224"/>
      <c r="BM106" s="224"/>
      <c r="BN106" s="224"/>
      <c r="BO106" s="224"/>
      <c r="BP106" s="224"/>
      <c r="BQ106" s="224"/>
      <c r="BR106" s="224"/>
      <c r="BS106" s="224"/>
      <c r="BT106" s="224"/>
      <c r="BU106" s="224"/>
      <c r="BV106" s="224"/>
      <c r="BW106" s="224"/>
      <c r="BX106" s="224"/>
      <c r="BY106" s="224"/>
      <c r="BZ106" s="224"/>
      <c r="CA106" s="224"/>
      <c r="CB106" s="224"/>
      <c r="CC106" s="224"/>
      <c r="CD106" s="226">
        <v>3.5899649999999999</v>
      </c>
    </row>
    <row r="107" spans="1:82" x14ac:dyDescent="0.3">
      <c r="A107" s="221" t="str">
        <f t="shared" si="3"/>
        <v>ADDOrganizational Excellence - Program SupportResearch Security Strategy and PolicyTotal</v>
      </c>
      <c r="B107" s="6" t="s">
        <v>81</v>
      </c>
      <c r="C107" s="6" t="s">
        <v>166</v>
      </c>
      <c r="D107" s="224" t="s">
        <v>178</v>
      </c>
      <c r="E107" s="6" t="s">
        <v>24</v>
      </c>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c r="AZ107" s="224"/>
      <c r="BA107" s="224"/>
      <c r="BB107" s="224"/>
      <c r="BC107" s="224"/>
      <c r="BD107" s="225">
        <v>1.267431</v>
      </c>
      <c r="BE107" s="225">
        <v>1.267431</v>
      </c>
      <c r="BF107" s="224"/>
      <c r="BG107" s="224"/>
      <c r="BH107" s="224"/>
      <c r="BI107" s="224"/>
      <c r="BJ107" s="225">
        <v>1.267431</v>
      </c>
      <c r="BK107" s="224"/>
      <c r="BL107" s="224"/>
      <c r="BM107" s="224"/>
      <c r="BN107" s="224"/>
      <c r="BO107" s="224"/>
      <c r="BP107" s="224"/>
      <c r="BQ107" s="224"/>
      <c r="BR107" s="224"/>
      <c r="BS107" s="224"/>
      <c r="BT107" s="224"/>
      <c r="BU107" s="224"/>
      <c r="BV107" s="224"/>
      <c r="BW107" s="224"/>
      <c r="BX107" s="224"/>
      <c r="BY107" s="224"/>
      <c r="BZ107" s="224"/>
      <c r="CA107" s="224"/>
      <c r="CB107" s="224"/>
      <c r="CC107" s="224"/>
      <c r="CD107" s="226">
        <v>1.267431</v>
      </c>
    </row>
    <row r="108" spans="1:82" x14ac:dyDescent="0.3">
      <c r="A108" s="221" t="str">
        <f t="shared" si="3"/>
        <v>ADDResearch InfrastructureTotalTotal</v>
      </c>
      <c r="B108" s="6" t="s">
        <v>81</v>
      </c>
      <c r="C108" s="6" t="s">
        <v>179</v>
      </c>
      <c r="D108" s="6" t="s">
        <v>24</v>
      </c>
      <c r="E108" s="6" t="s">
        <v>24</v>
      </c>
      <c r="F108" s="225">
        <v>116.480639</v>
      </c>
      <c r="G108" s="225">
        <v>2.0899559999999999</v>
      </c>
      <c r="H108" s="224"/>
      <c r="I108" s="225">
        <v>17.365632000000002</v>
      </c>
      <c r="J108" s="225">
        <v>1.3223</v>
      </c>
      <c r="K108" s="224"/>
      <c r="L108" s="225">
        <v>137.25852699999999</v>
      </c>
      <c r="M108" s="225">
        <v>1.6584460000000001</v>
      </c>
      <c r="N108" s="225">
        <v>25.933423999999999</v>
      </c>
      <c r="O108" s="225">
        <v>3</v>
      </c>
      <c r="P108" s="225">
        <v>12.365774999999999</v>
      </c>
      <c r="Q108" s="225">
        <v>134.54769899999999</v>
      </c>
      <c r="R108" s="224"/>
      <c r="S108" s="225">
        <v>177.50534400000001</v>
      </c>
      <c r="T108" s="225">
        <v>3.68</v>
      </c>
      <c r="U108" s="225">
        <v>17.980798</v>
      </c>
      <c r="V108" s="225">
        <v>5.44</v>
      </c>
      <c r="W108" s="224"/>
      <c r="X108" s="225">
        <v>0.17565</v>
      </c>
      <c r="Y108" s="224"/>
      <c r="Z108" s="224"/>
      <c r="AA108" s="225">
        <v>27.276447999999998</v>
      </c>
      <c r="AB108" s="225">
        <v>148.90116800000001</v>
      </c>
      <c r="AC108" s="225">
        <v>60.011105000000001</v>
      </c>
      <c r="AD108" s="225">
        <v>229.93980400000001</v>
      </c>
      <c r="AE108" s="225">
        <v>345.186216</v>
      </c>
      <c r="AF108" s="225">
        <v>0</v>
      </c>
      <c r="AG108" s="224"/>
      <c r="AH108" s="225">
        <v>784.03829299999995</v>
      </c>
      <c r="AI108" s="225">
        <v>216.23022499999999</v>
      </c>
      <c r="AJ108" s="225">
        <v>9.0016149999999993</v>
      </c>
      <c r="AK108" s="225">
        <v>86.265553999999995</v>
      </c>
      <c r="AL108" s="224"/>
      <c r="AM108" s="225">
        <v>15.772688</v>
      </c>
      <c r="AN108" s="225">
        <v>92.253264000000001</v>
      </c>
      <c r="AO108" s="224"/>
      <c r="AP108" s="225">
        <v>419.523346</v>
      </c>
      <c r="AQ108" s="225">
        <v>4.6109309999999999</v>
      </c>
      <c r="AR108" s="225">
        <v>55.309081999999997</v>
      </c>
      <c r="AS108" s="225">
        <v>0</v>
      </c>
      <c r="AT108" s="225">
        <v>22.706668000000001</v>
      </c>
      <c r="AU108" s="224"/>
      <c r="AV108" s="225">
        <v>82.626681000000005</v>
      </c>
      <c r="AW108" s="225">
        <v>0.1</v>
      </c>
      <c r="AX108" s="224"/>
      <c r="AY108" s="224"/>
      <c r="AZ108" s="225">
        <v>0.1</v>
      </c>
      <c r="BA108" s="225">
        <v>0.1</v>
      </c>
      <c r="BB108" s="225">
        <v>0.1</v>
      </c>
      <c r="BC108" s="224"/>
      <c r="BD108" s="225">
        <v>121.237269</v>
      </c>
      <c r="BE108" s="225">
        <v>121.237269</v>
      </c>
      <c r="BF108" s="224"/>
      <c r="BG108" s="224"/>
      <c r="BH108" s="225">
        <v>85</v>
      </c>
      <c r="BI108" s="225">
        <v>85</v>
      </c>
      <c r="BJ108" s="225">
        <v>1834.6659079999999</v>
      </c>
      <c r="BK108" s="224"/>
      <c r="BL108" s="224"/>
      <c r="BM108" s="224"/>
      <c r="BN108" s="224"/>
      <c r="BO108" s="224"/>
      <c r="BP108" s="224"/>
      <c r="BQ108" s="224"/>
      <c r="BR108" s="225">
        <v>119.949478</v>
      </c>
      <c r="BS108" s="225">
        <v>119.949478</v>
      </c>
      <c r="BT108" s="225">
        <v>119.949478</v>
      </c>
      <c r="BU108" s="224"/>
      <c r="BV108" s="224"/>
      <c r="BW108" s="224"/>
      <c r="BX108" s="224"/>
      <c r="BY108" s="224"/>
      <c r="BZ108" s="224"/>
      <c r="CA108" s="224"/>
      <c r="CB108" s="224"/>
      <c r="CC108" s="224"/>
      <c r="CD108" s="226">
        <v>1954.6153859999999</v>
      </c>
    </row>
    <row r="109" spans="1:82" x14ac:dyDescent="0.3">
      <c r="A109" s="221" t="str">
        <f t="shared" si="3"/>
        <v>ADDResearch InfrastructureAcademic Research FleetTotal</v>
      </c>
      <c r="B109" s="6" t="s">
        <v>81</v>
      </c>
      <c r="C109" s="6" t="s">
        <v>179</v>
      </c>
      <c r="D109" s="224" t="s">
        <v>180</v>
      </c>
      <c r="E109" s="6" t="s">
        <v>24</v>
      </c>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5">
        <v>116.386206</v>
      </c>
      <c r="AE109" s="224"/>
      <c r="AF109" s="224"/>
      <c r="AG109" s="224"/>
      <c r="AH109" s="225">
        <v>116.386206</v>
      </c>
      <c r="AI109" s="224"/>
      <c r="AJ109" s="224"/>
      <c r="AK109" s="224"/>
      <c r="AL109" s="224"/>
      <c r="AM109" s="224"/>
      <c r="AN109" s="224"/>
      <c r="AO109" s="224"/>
      <c r="AP109" s="224"/>
      <c r="AQ109" s="224"/>
      <c r="AR109" s="224"/>
      <c r="AS109" s="224"/>
      <c r="AT109" s="224"/>
      <c r="AU109" s="224"/>
      <c r="AV109" s="224"/>
      <c r="AW109" s="224"/>
      <c r="AX109" s="224"/>
      <c r="AY109" s="224"/>
      <c r="AZ109" s="224"/>
      <c r="BA109" s="224"/>
      <c r="BB109" s="224"/>
      <c r="BC109" s="224"/>
      <c r="BD109" s="224"/>
      <c r="BE109" s="224"/>
      <c r="BF109" s="224"/>
      <c r="BG109" s="224"/>
      <c r="BH109" s="224"/>
      <c r="BI109" s="224"/>
      <c r="BJ109" s="225">
        <v>116.386206</v>
      </c>
      <c r="BK109" s="224"/>
      <c r="BL109" s="224"/>
      <c r="BM109" s="224"/>
      <c r="BN109" s="224"/>
      <c r="BO109" s="224"/>
      <c r="BP109" s="224"/>
      <c r="BQ109" s="224"/>
      <c r="BR109" s="225">
        <v>0</v>
      </c>
      <c r="BS109" s="225">
        <v>0</v>
      </c>
      <c r="BT109" s="225">
        <v>0</v>
      </c>
      <c r="BU109" s="224"/>
      <c r="BV109" s="224"/>
      <c r="BW109" s="224"/>
      <c r="BX109" s="224"/>
      <c r="BY109" s="224"/>
      <c r="BZ109" s="224"/>
      <c r="CA109" s="224"/>
      <c r="CB109" s="224"/>
      <c r="CC109" s="224"/>
      <c r="CD109" s="226">
        <v>116.386206</v>
      </c>
    </row>
    <row r="110" spans="1:82" x14ac:dyDescent="0.3">
      <c r="A110" s="221" t="str">
        <f t="shared" si="3"/>
        <v>ADDResearch InfrastructureAcademic Research FleetARF-Academic Research Fleet, Ship Ops &amp; Upgrades</v>
      </c>
      <c r="B110" s="6" t="s">
        <v>81</v>
      </c>
      <c r="C110" s="6" t="s">
        <v>179</v>
      </c>
      <c r="D110" s="224" t="s">
        <v>180</v>
      </c>
      <c r="E110" s="224" t="s">
        <v>181</v>
      </c>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5">
        <v>116.386206</v>
      </c>
      <c r="AE110" s="224"/>
      <c r="AF110" s="224"/>
      <c r="AG110" s="224"/>
      <c r="AH110" s="225">
        <v>116.386206</v>
      </c>
      <c r="AI110" s="224"/>
      <c r="AJ110" s="224"/>
      <c r="AK110" s="224"/>
      <c r="AL110" s="224"/>
      <c r="AM110" s="224"/>
      <c r="AN110" s="224"/>
      <c r="AO110" s="224"/>
      <c r="AP110" s="224"/>
      <c r="AQ110" s="224"/>
      <c r="AR110" s="224"/>
      <c r="AS110" s="224"/>
      <c r="AT110" s="224"/>
      <c r="AU110" s="224"/>
      <c r="AV110" s="224"/>
      <c r="AW110" s="224"/>
      <c r="AX110" s="224"/>
      <c r="AY110" s="224"/>
      <c r="AZ110" s="224"/>
      <c r="BA110" s="224"/>
      <c r="BB110" s="224"/>
      <c r="BC110" s="224"/>
      <c r="BD110" s="224"/>
      <c r="BE110" s="224"/>
      <c r="BF110" s="224"/>
      <c r="BG110" s="224"/>
      <c r="BH110" s="224"/>
      <c r="BI110" s="224"/>
      <c r="BJ110" s="225">
        <v>116.386206</v>
      </c>
      <c r="BK110" s="224"/>
      <c r="BL110" s="224"/>
      <c r="BM110" s="224"/>
      <c r="BN110" s="224"/>
      <c r="BO110" s="224"/>
      <c r="BP110" s="224"/>
      <c r="BQ110" s="224"/>
      <c r="BR110" s="224"/>
      <c r="BS110" s="224"/>
      <c r="BT110" s="224"/>
      <c r="BU110" s="224"/>
      <c r="BV110" s="224"/>
      <c r="BW110" s="224"/>
      <c r="BX110" s="224"/>
      <c r="BY110" s="224"/>
      <c r="BZ110" s="224"/>
      <c r="CA110" s="224"/>
      <c r="CB110" s="224"/>
      <c r="CC110" s="224"/>
      <c r="CD110" s="226">
        <v>116.386206</v>
      </c>
    </row>
    <row r="111" spans="1:82" x14ac:dyDescent="0.3">
      <c r="A111" s="221" t="str">
        <f t="shared" si="3"/>
        <v>ADDResearch InfrastructureAcademic Research FleetARF-Regional Class Research Vessels (RCRV)</v>
      </c>
      <c r="B111" s="6" t="s">
        <v>81</v>
      </c>
      <c r="C111" s="6" t="s">
        <v>179</v>
      </c>
      <c r="D111" s="224" t="s">
        <v>180</v>
      </c>
      <c r="E111" s="224" t="s">
        <v>182</v>
      </c>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c r="AZ111" s="224"/>
      <c r="BA111" s="224"/>
      <c r="BB111" s="224"/>
      <c r="BC111" s="224"/>
      <c r="BD111" s="224"/>
      <c r="BE111" s="224"/>
      <c r="BF111" s="224"/>
      <c r="BG111" s="224"/>
      <c r="BH111" s="224"/>
      <c r="BI111" s="224"/>
      <c r="BJ111" s="224"/>
      <c r="BK111" s="224"/>
      <c r="BL111" s="224"/>
      <c r="BM111" s="224"/>
      <c r="BN111" s="224"/>
      <c r="BO111" s="224"/>
      <c r="BP111" s="224"/>
      <c r="BQ111" s="224"/>
      <c r="BR111" s="225">
        <v>0</v>
      </c>
      <c r="BS111" s="225">
        <v>0</v>
      </c>
      <c r="BT111" s="225">
        <v>0</v>
      </c>
      <c r="BU111" s="224"/>
      <c r="BV111" s="224"/>
      <c r="BW111" s="224"/>
      <c r="BX111" s="224"/>
      <c r="BY111" s="224"/>
      <c r="BZ111" s="224"/>
      <c r="CA111" s="224"/>
      <c r="CB111" s="224"/>
      <c r="CC111" s="224"/>
      <c r="CD111" s="226">
        <v>0</v>
      </c>
    </row>
    <row r="112" spans="1:82" x14ac:dyDescent="0.3">
      <c r="A112" s="221" t="str">
        <f t="shared" si="3"/>
        <v>ADDResearch InfrastructureAntarctic Facilities and OperationsTotal</v>
      </c>
      <c r="B112" s="6" t="s">
        <v>81</v>
      </c>
      <c r="C112" s="6" t="s">
        <v>179</v>
      </c>
      <c r="D112" s="224" t="s">
        <v>183</v>
      </c>
      <c r="E112" s="6" t="s">
        <v>24</v>
      </c>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5">
        <v>244.67451600000001</v>
      </c>
      <c r="AF112" s="224"/>
      <c r="AG112" s="224"/>
      <c r="AH112" s="225">
        <v>244.67451600000001</v>
      </c>
      <c r="AI112" s="224"/>
      <c r="AJ112" s="224"/>
      <c r="AK112" s="224"/>
      <c r="AL112" s="224"/>
      <c r="AM112" s="224"/>
      <c r="AN112" s="224"/>
      <c r="AO112" s="224"/>
      <c r="AP112" s="224"/>
      <c r="AQ112" s="224"/>
      <c r="AR112" s="224"/>
      <c r="AS112" s="224"/>
      <c r="AT112" s="224"/>
      <c r="AU112" s="224"/>
      <c r="AV112" s="224"/>
      <c r="AW112" s="224"/>
      <c r="AX112" s="224"/>
      <c r="AY112" s="224"/>
      <c r="AZ112" s="224"/>
      <c r="BA112" s="224"/>
      <c r="BB112" s="224"/>
      <c r="BC112" s="224"/>
      <c r="BD112" s="224"/>
      <c r="BE112" s="224"/>
      <c r="BF112" s="224"/>
      <c r="BG112" s="224"/>
      <c r="BH112" s="224"/>
      <c r="BI112" s="224"/>
      <c r="BJ112" s="225">
        <v>244.67451600000001</v>
      </c>
      <c r="BK112" s="224"/>
      <c r="BL112" s="224"/>
      <c r="BM112" s="224"/>
      <c r="BN112" s="224"/>
      <c r="BO112" s="224"/>
      <c r="BP112" s="224"/>
      <c r="BQ112" s="224"/>
      <c r="BR112" s="224"/>
      <c r="BS112" s="224"/>
      <c r="BT112" s="224"/>
      <c r="BU112" s="224"/>
      <c r="BV112" s="224"/>
      <c r="BW112" s="224"/>
      <c r="BX112" s="224"/>
      <c r="BY112" s="224"/>
      <c r="BZ112" s="224"/>
      <c r="CA112" s="224"/>
      <c r="CB112" s="224"/>
      <c r="CC112" s="224"/>
      <c r="CD112" s="226">
        <v>244.67451600000001</v>
      </c>
    </row>
    <row r="113" spans="1:82" x14ac:dyDescent="0.3">
      <c r="A113" s="221" t="str">
        <f t="shared" si="3"/>
        <v>ADDResearch InfrastructureAntarctic Infrastructure Modernization for Science (AIMS)Total</v>
      </c>
      <c r="B113" s="6" t="s">
        <v>81</v>
      </c>
      <c r="C113" s="6" t="s">
        <v>179</v>
      </c>
      <c r="D113" s="224" t="s">
        <v>184</v>
      </c>
      <c r="E113" s="6" t="s">
        <v>24</v>
      </c>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5">
        <v>0</v>
      </c>
      <c r="AF113" s="224"/>
      <c r="AG113" s="224"/>
      <c r="AH113" s="225">
        <v>0</v>
      </c>
      <c r="AI113" s="224"/>
      <c r="AJ113" s="224"/>
      <c r="AK113" s="224"/>
      <c r="AL113" s="224"/>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c r="BG113" s="224"/>
      <c r="BH113" s="224"/>
      <c r="BI113" s="224"/>
      <c r="BJ113" s="225">
        <v>0</v>
      </c>
      <c r="BK113" s="224"/>
      <c r="BL113" s="224"/>
      <c r="BM113" s="224"/>
      <c r="BN113" s="224"/>
      <c r="BO113" s="224"/>
      <c r="BP113" s="224"/>
      <c r="BQ113" s="224"/>
      <c r="BR113" s="225">
        <v>0.186608</v>
      </c>
      <c r="BS113" s="225">
        <v>0.186608</v>
      </c>
      <c r="BT113" s="225">
        <v>0.186608</v>
      </c>
      <c r="BU113" s="224"/>
      <c r="BV113" s="224"/>
      <c r="BW113" s="224"/>
      <c r="BX113" s="224"/>
      <c r="BY113" s="224"/>
      <c r="BZ113" s="224"/>
      <c r="CA113" s="224"/>
      <c r="CB113" s="224"/>
      <c r="CC113" s="224"/>
      <c r="CD113" s="226">
        <v>0.186608</v>
      </c>
    </row>
    <row r="114" spans="1:82" x14ac:dyDescent="0.3">
      <c r="A114" s="221" t="str">
        <f t="shared" si="3"/>
        <v>ADDResearch InfrastructureAntarctic Infrastructure Recapitalization (AIR)Total</v>
      </c>
      <c r="B114" s="6" t="s">
        <v>81</v>
      </c>
      <c r="C114" s="6" t="s">
        <v>179</v>
      </c>
      <c r="D114" s="224" t="s">
        <v>185</v>
      </c>
      <c r="E114" s="6" t="s">
        <v>24</v>
      </c>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AZ114" s="224"/>
      <c r="BA114" s="224"/>
      <c r="BB114" s="224"/>
      <c r="BC114" s="224"/>
      <c r="BD114" s="224"/>
      <c r="BE114" s="224"/>
      <c r="BF114" s="224"/>
      <c r="BG114" s="224"/>
      <c r="BH114" s="224"/>
      <c r="BI114" s="224"/>
      <c r="BJ114" s="224"/>
      <c r="BK114" s="224"/>
      <c r="BL114" s="224"/>
      <c r="BM114" s="224"/>
      <c r="BN114" s="224"/>
      <c r="BO114" s="224"/>
      <c r="BP114" s="224"/>
      <c r="BQ114" s="224"/>
      <c r="BR114" s="225">
        <v>55.014398</v>
      </c>
      <c r="BS114" s="225">
        <v>55.014398</v>
      </c>
      <c r="BT114" s="225">
        <v>55.014398</v>
      </c>
      <c r="BU114" s="224"/>
      <c r="BV114" s="224"/>
      <c r="BW114" s="224"/>
      <c r="BX114" s="224"/>
      <c r="BY114" s="224"/>
      <c r="BZ114" s="224"/>
      <c r="CA114" s="224"/>
      <c r="CB114" s="224"/>
      <c r="CC114" s="224"/>
      <c r="CD114" s="226">
        <v>55.014398</v>
      </c>
    </row>
    <row r="115" spans="1:82" x14ac:dyDescent="0.3">
      <c r="A115" s="221" t="str">
        <f t="shared" si="3"/>
        <v>ADDResearch InfrastructureAntarctic LogisticsTotal</v>
      </c>
      <c r="B115" s="6" t="s">
        <v>81</v>
      </c>
      <c r="C115" s="6" t="s">
        <v>179</v>
      </c>
      <c r="D115" s="224" t="s">
        <v>186</v>
      </c>
      <c r="E115" s="6" t="s">
        <v>24</v>
      </c>
      <c r="F115" s="224"/>
      <c r="G115" s="224"/>
      <c r="H115" s="224"/>
      <c r="I115" s="224"/>
      <c r="J115" s="224"/>
      <c r="K115" s="224"/>
      <c r="L115" s="224"/>
      <c r="M115" s="224"/>
      <c r="N115" s="224"/>
      <c r="O115" s="224"/>
      <c r="P115" s="224"/>
      <c r="Q115" s="224"/>
      <c r="R115" s="224"/>
      <c r="S115" s="224"/>
      <c r="T115" s="224"/>
      <c r="U115" s="224"/>
      <c r="V115" s="224"/>
      <c r="W115" s="224"/>
      <c r="X115" s="224"/>
      <c r="Y115" s="224"/>
      <c r="Z115" s="224"/>
      <c r="AA115" s="224"/>
      <c r="AB115" s="224"/>
      <c r="AC115" s="224"/>
      <c r="AD115" s="224"/>
      <c r="AE115" s="225">
        <v>0</v>
      </c>
      <c r="AF115" s="224"/>
      <c r="AG115" s="224"/>
      <c r="AH115" s="225">
        <v>0</v>
      </c>
      <c r="AI115" s="224"/>
      <c r="AJ115" s="224"/>
      <c r="AK115" s="224"/>
      <c r="AL115" s="224"/>
      <c r="AM115" s="224"/>
      <c r="AN115" s="224"/>
      <c r="AO115" s="224"/>
      <c r="AP115" s="224"/>
      <c r="AQ115" s="224"/>
      <c r="AR115" s="224"/>
      <c r="AS115" s="224"/>
      <c r="AT115" s="224"/>
      <c r="AU115" s="224"/>
      <c r="AV115" s="224"/>
      <c r="AW115" s="224"/>
      <c r="AX115" s="224"/>
      <c r="AY115" s="224"/>
      <c r="AZ115" s="224"/>
      <c r="BA115" s="224"/>
      <c r="BB115" s="224"/>
      <c r="BC115" s="224"/>
      <c r="BD115" s="224"/>
      <c r="BE115" s="224"/>
      <c r="BF115" s="224"/>
      <c r="BG115" s="224"/>
      <c r="BH115" s="225">
        <v>85</v>
      </c>
      <c r="BI115" s="225">
        <v>85</v>
      </c>
      <c r="BJ115" s="225">
        <v>85</v>
      </c>
      <c r="BK115" s="224"/>
      <c r="BL115" s="224"/>
      <c r="BM115" s="224"/>
      <c r="BN115" s="224"/>
      <c r="BO115" s="224"/>
      <c r="BP115" s="224"/>
      <c r="BQ115" s="224"/>
      <c r="BR115" s="224"/>
      <c r="BS115" s="224"/>
      <c r="BT115" s="224"/>
      <c r="BU115" s="224"/>
      <c r="BV115" s="224"/>
      <c r="BW115" s="224"/>
      <c r="BX115" s="224"/>
      <c r="BY115" s="224"/>
      <c r="BZ115" s="224"/>
      <c r="CA115" s="224"/>
      <c r="CB115" s="224"/>
      <c r="CC115" s="224"/>
      <c r="CD115" s="226">
        <v>85</v>
      </c>
    </row>
    <row r="116" spans="1:82" x14ac:dyDescent="0.3">
      <c r="A116" s="221" t="str">
        <f t="shared" si="3"/>
        <v>ADDResearch InfrastructureArctic LogisticsTotal</v>
      </c>
      <c r="B116" s="6" t="s">
        <v>81</v>
      </c>
      <c r="C116" s="6" t="s">
        <v>179</v>
      </c>
      <c r="D116" s="224" t="s">
        <v>187</v>
      </c>
      <c r="E116" s="6" t="s">
        <v>24</v>
      </c>
      <c r="F116" s="224"/>
      <c r="G116" s="225">
        <v>0.58995600000000004</v>
      </c>
      <c r="H116" s="224"/>
      <c r="I116" s="224"/>
      <c r="J116" s="224"/>
      <c r="K116" s="224"/>
      <c r="L116" s="225">
        <v>0.58995600000000004</v>
      </c>
      <c r="M116" s="224"/>
      <c r="N116" s="224"/>
      <c r="O116" s="224"/>
      <c r="P116" s="224"/>
      <c r="Q116" s="224"/>
      <c r="R116" s="224"/>
      <c r="S116" s="224"/>
      <c r="T116" s="224"/>
      <c r="U116" s="224"/>
      <c r="V116" s="224"/>
      <c r="W116" s="224"/>
      <c r="X116" s="224"/>
      <c r="Y116" s="224"/>
      <c r="Z116" s="224"/>
      <c r="AA116" s="224"/>
      <c r="AB116" s="224"/>
      <c r="AC116" s="224"/>
      <c r="AD116" s="224"/>
      <c r="AE116" s="225">
        <v>59.168588999999997</v>
      </c>
      <c r="AF116" s="224"/>
      <c r="AG116" s="224"/>
      <c r="AH116" s="225">
        <v>59.168588999999997</v>
      </c>
      <c r="AI116" s="224"/>
      <c r="AJ116" s="224"/>
      <c r="AK116" s="224"/>
      <c r="AL116" s="224"/>
      <c r="AM116" s="224"/>
      <c r="AN116" s="224"/>
      <c r="AO116" s="224"/>
      <c r="AP116" s="224"/>
      <c r="AQ116" s="224"/>
      <c r="AR116" s="224"/>
      <c r="AS116" s="224"/>
      <c r="AT116" s="224"/>
      <c r="AU116" s="224"/>
      <c r="AV116" s="224"/>
      <c r="AW116" s="224"/>
      <c r="AX116" s="224"/>
      <c r="AY116" s="224"/>
      <c r="AZ116" s="224"/>
      <c r="BA116" s="224"/>
      <c r="BB116" s="224"/>
      <c r="BC116" s="224"/>
      <c r="BD116" s="224"/>
      <c r="BE116" s="224"/>
      <c r="BF116" s="224"/>
      <c r="BG116" s="224"/>
      <c r="BH116" s="224"/>
      <c r="BI116" s="224"/>
      <c r="BJ116" s="225">
        <v>59.758544999999998</v>
      </c>
      <c r="BK116" s="224"/>
      <c r="BL116" s="224"/>
      <c r="BM116" s="224"/>
      <c r="BN116" s="224"/>
      <c r="BO116" s="224"/>
      <c r="BP116" s="224"/>
      <c r="BQ116" s="224"/>
      <c r="BR116" s="224"/>
      <c r="BS116" s="224"/>
      <c r="BT116" s="224"/>
      <c r="BU116" s="224"/>
      <c r="BV116" s="224"/>
      <c r="BW116" s="224"/>
      <c r="BX116" s="224"/>
      <c r="BY116" s="224"/>
      <c r="BZ116" s="224"/>
      <c r="CA116" s="224"/>
      <c r="CB116" s="224"/>
      <c r="CC116" s="224"/>
      <c r="CD116" s="226">
        <v>59.758544999999998</v>
      </c>
    </row>
    <row r="117" spans="1:82" x14ac:dyDescent="0.3">
      <c r="A117" s="221" t="str">
        <f t="shared" si="3"/>
        <v>ADDResearch InfrastructureArecibo ObservatoryTotal</v>
      </c>
      <c r="B117" s="6" t="s">
        <v>81</v>
      </c>
      <c r="C117" s="6" t="s">
        <v>179</v>
      </c>
      <c r="D117" s="224" t="s">
        <v>188</v>
      </c>
      <c r="E117" s="6" t="s">
        <v>24</v>
      </c>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5">
        <v>9.7712880000000002</v>
      </c>
      <c r="AC117" s="224"/>
      <c r="AD117" s="224"/>
      <c r="AE117" s="224"/>
      <c r="AF117" s="224"/>
      <c r="AG117" s="224"/>
      <c r="AH117" s="225">
        <v>9.7712880000000002</v>
      </c>
      <c r="AI117" s="225">
        <v>2.418069</v>
      </c>
      <c r="AJ117" s="224"/>
      <c r="AK117" s="224"/>
      <c r="AL117" s="224"/>
      <c r="AM117" s="225">
        <v>0</v>
      </c>
      <c r="AN117" s="224"/>
      <c r="AO117" s="224"/>
      <c r="AP117" s="225">
        <v>2.418069</v>
      </c>
      <c r="AQ117" s="224"/>
      <c r="AR117" s="224"/>
      <c r="AS117" s="224"/>
      <c r="AT117" s="224"/>
      <c r="AU117" s="224"/>
      <c r="AV117" s="224"/>
      <c r="AW117" s="224"/>
      <c r="AX117" s="224"/>
      <c r="AY117" s="224"/>
      <c r="AZ117" s="224"/>
      <c r="BA117" s="224"/>
      <c r="BB117" s="224"/>
      <c r="BC117" s="224"/>
      <c r="BD117" s="224"/>
      <c r="BE117" s="224"/>
      <c r="BF117" s="224"/>
      <c r="BG117" s="224"/>
      <c r="BH117" s="224"/>
      <c r="BI117" s="224"/>
      <c r="BJ117" s="225">
        <v>12.189356999999999</v>
      </c>
      <c r="BK117" s="224"/>
      <c r="BL117" s="224"/>
      <c r="BM117" s="224"/>
      <c r="BN117" s="224"/>
      <c r="BO117" s="224"/>
      <c r="BP117" s="224"/>
      <c r="BQ117" s="224"/>
      <c r="BR117" s="224"/>
      <c r="BS117" s="224"/>
      <c r="BT117" s="224"/>
      <c r="BU117" s="224"/>
      <c r="BV117" s="224"/>
      <c r="BW117" s="224"/>
      <c r="BX117" s="224"/>
      <c r="BY117" s="224"/>
      <c r="BZ117" s="224"/>
      <c r="CA117" s="224"/>
      <c r="CB117" s="224"/>
      <c r="CC117" s="224"/>
      <c r="CD117" s="226">
        <v>12.189356999999999</v>
      </c>
    </row>
    <row r="118" spans="1:82" x14ac:dyDescent="0.3">
      <c r="A118" s="221" t="str">
        <f t="shared" si="3"/>
        <v>ADDResearch InfrastructureAST Portfolio Review ImplementationTotal</v>
      </c>
      <c r="B118" s="6" t="s">
        <v>81</v>
      </c>
      <c r="C118" s="6" t="s">
        <v>179</v>
      </c>
      <c r="D118" s="224" t="s">
        <v>189</v>
      </c>
      <c r="E118" s="6" t="s">
        <v>24</v>
      </c>
      <c r="F118" s="224"/>
      <c r="G118" s="224"/>
      <c r="H118" s="224"/>
      <c r="I118" s="224"/>
      <c r="J118" s="224"/>
      <c r="K118" s="224"/>
      <c r="L118" s="224"/>
      <c r="M118" s="224"/>
      <c r="N118" s="224"/>
      <c r="O118" s="224"/>
      <c r="P118" s="224"/>
      <c r="Q118" s="224"/>
      <c r="R118" s="224"/>
      <c r="S118" s="224"/>
      <c r="T118" s="224"/>
      <c r="U118" s="224"/>
      <c r="V118" s="224"/>
      <c r="W118" s="224"/>
      <c r="X118" s="224"/>
      <c r="Y118" s="224"/>
      <c r="Z118" s="224"/>
      <c r="AA118" s="224"/>
      <c r="AB118" s="224"/>
      <c r="AC118" s="224"/>
      <c r="AD118" s="224"/>
      <c r="AE118" s="224"/>
      <c r="AF118" s="224"/>
      <c r="AG118" s="224"/>
      <c r="AH118" s="224"/>
      <c r="AI118" s="225">
        <v>0.67675799999999997</v>
      </c>
      <c r="AJ118" s="224"/>
      <c r="AK118" s="224"/>
      <c r="AL118" s="224"/>
      <c r="AM118" s="225">
        <v>0.16641900000000001</v>
      </c>
      <c r="AN118" s="224"/>
      <c r="AO118" s="224"/>
      <c r="AP118" s="225">
        <v>0.84317699999999995</v>
      </c>
      <c r="AQ118" s="224"/>
      <c r="AR118" s="224"/>
      <c r="AS118" s="224"/>
      <c r="AT118" s="224"/>
      <c r="AU118" s="224"/>
      <c r="AV118" s="224"/>
      <c r="AW118" s="224"/>
      <c r="AX118" s="224"/>
      <c r="AY118" s="224"/>
      <c r="AZ118" s="224"/>
      <c r="BA118" s="224"/>
      <c r="BB118" s="224"/>
      <c r="BC118" s="224"/>
      <c r="BD118" s="224"/>
      <c r="BE118" s="224"/>
      <c r="BF118" s="224"/>
      <c r="BG118" s="224"/>
      <c r="BH118" s="224"/>
      <c r="BI118" s="224"/>
      <c r="BJ118" s="225">
        <v>0.84317699999999995</v>
      </c>
      <c r="BK118" s="224"/>
      <c r="BL118" s="224"/>
      <c r="BM118" s="224"/>
      <c r="BN118" s="224"/>
      <c r="BO118" s="224"/>
      <c r="BP118" s="224"/>
      <c r="BQ118" s="224"/>
      <c r="BR118" s="224"/>
      <c r="BS118" s="224"/>
      <c r="BT118" s="224"/>
      <c r="BU118" s="224"/>
      <c r="BV118" s="224"/>
      <c r="BW118" s="224"/>
      <c r="BX118" s="224"/>
      <c r="BY118" s="224"/>
      <c r="BZ118" s="224"/>
      <c r="CA118" s="224"/>
      <c r="CB118" s="224"/>
      <c r="CC118" s="224"/>
      <c r="CD118" s="226">
        <v>0.84317699999999995</v>
      </c>
    </row>
    <row r="119" spans="1:82" x14ac:dyDescent="0.3">
      <c r="A119" s="221" t="str">
        <f t="shared" si="3"/>
        <v>ADDResearch InfrastructureAtacama Large Millimeter Array (ALMA)Total</v>
      </c>
      <c r="B119" s="6" t="s">
        <v>81</v>
      </c>
      <c r="C119" s="6" t="s">
        <v>179</v>
      </c>
      <c r="D119" s="224" t="s">
        <v>190</v>
      </c>
      <c r="E119" s="6" t="s">
        <v>24</v>
      </c>
      <c r="F119" s="224"/>
      <c r="G119" s="224"/>
      <c r="H119" s="224"/>
      <c r="I119" s="224"/>
      <c r="J119" s="224"/>
      <c r="K119" s="224"/>
      <c r="L119" s="224"/>
      <c r="M119" s="224"/>
      <c r="N119" s="224"/>
      <c r="O119" s="224"/>
      <c r="P119" s="224"/>
      <c r="Q119" s="224"/>
      <c r="R119" s="224"/>
      <c r="S119" s="224"/>
      <c r="T119" s="224"/>
      <c r="U119" s="224"/>
      <c r="V119" s="224"/>
      <c r="W119" s="224"/>
      <c r="X119" s="224"/>
      <c r="Y119" s="224"/>
      <c r="Z119" s="224"/>
      <c r="AA119" s="224"/>
      <c r="AB119" s="224"/>
      <c r="AC119" s="224"/>
      <c r="AD119" s="224"/>
      <c r="AE119" s="224"/>
      <c r="AF119" s="224"/>
      <c r="AG119" s="224"/>
      <c r="AH119" s="224"/>
      <c r="AI119" s="225">
        <v>50.627000000000002</v>
      </c>
      <c r="AJ119" s="224"/>
      <c r="AK119" s="224"/>
      <c r="AL119" s="224"/>
      <c r="AM119" s="224"/>
      <c r="AN119" s="224"/>
      <c r="AO119" s="224"/>
      <c r="AP119" s="225">
        <v>50.627000000000002</v>
      </c>
      <c r="AQ119" s="224"/>
      <c r="AR119" s="224"/>
      <c r="AS119" s="224"/>
      <c r="AT119" s="224"/>
      <c r="AU119" s="224"/>
      <c r="AV119" s="224"/>
      <c r="AW119" s="224"/>
      <c r="AX119" s="224"/>
      <c r="AY119" s="224"/>
      <c r="AZ119" s="224"/>
      <c r="BA119" s="224"/>
      <c r="BB119" s="224"/>
      <c r="BC119" s="224"/>
      <c r="BD119" s="224"/>
      <c r="BE119" s="224"/>
      <c r="BF119" s="224"/>
      <c r="BG119" s="224"/>
      <c r="BH119" s="224"/>
      <c r="BI119" s="224"/>
      <c r="BJ119" s="225">
        <v>50.627000000000002</v>
      </c>
      <c r="BK119" s="224"/>
      <c r="BL119" s="224"/>
      <c r="BM119" s="224"/>
      <c r="BN119" s="224"/>
      <c r="BO119" s="224"/>
      <c r="BP119" s="224"/>
      <c r="BQ119" s="224"/>
      <c r="BR119" s="224"/>
      <c r="BS119" s="224"/>
      <c r="BT119" s="224"/>
      <c r="BU119" s="224"/>
      <c r="BV119" s="224"/>
      <c r="BW119" s="224"/>
      <c r="BX119" s="224"/>
      <c r="BY119" s="224"/>
      <c r="BZ119" s="224"/>
      <c r="CA119" s="224"/>
      <c r="CB119" s="224"/>
      <c r="CC119" s="224"/>
      <c r="CD119" s="226">
        <v>50.627000000000002</v>
      </c>
    </row>
    <row r="120" spans="1:82" x14ac:dyDescent="0.3">
      <c r="A120" s="221" t="str">
        <f t="shared" si="3"/>
        <v>ADDResearch InfrastructureCenter for High Energy X-ray Science (CHEXS)Total</v>
      </c>
      <c r="B120" s="6" t="s">
        <v>81</v>
      </c>
      <c r="C120" s="6" t="s">
        <v>179</v>
      </c>
      <c r="D120" s="224" t="s">
        <v>191</v>
      </c>
      <c r="E120" s="6" t="s">
        <v>24</v>
      </c>
      <c r="F120" s="224"/>
      <c r="G120" s="224"/>
      <c r="H120" s="224"/>
      <c r="I120" s="224"/>
      <c r="J120" s="225">
        <v>1</v>
      </c>
      <c r="K120" s="224"/>
      <c r="L120" s="225">
        <v>1</v>
      </c>
      <c r="M120" s="224"/>
      <c r="N120" s="224"/>
      <c r="O120" s="224"/>
      <c r="P120" s="224"/>
      <c r="Q120" s="224"/>
      <c r="R120" s="224"/>
      <c r="S120" s="224"/>
      <c r="T120" s="224"/>
      <c r="U120" s="225">
        <v>0.8</v>
      </c>
      <c r="V120" s="225">
        <v>0.1</v>
      </c>
      <c r="W120" s="224"/>
      <c r="X120" s="225">
        <v>0.1</v>
      </c>
      <c r="Y120" s="224"/>
      <c r="Z120" s="224"/>
      <c r="AA120" s="225">
        <v>1</v>
      </c>
      <c r="AB120" s="224"/>
      <c r="AC120" s="224"/>
      <c r="AD120" s="224"/>
      <c r="AE120" s="224"/>
      <c r="AF120" s="224"/>
      <c r="AG120" s="224"/>
      <c r="AH120" s="224"/>
      <c r="AI120" s="224"/>
      <c r="AJ120" s="224"/>
      <c r="AK120" s="225">
        <v>11</v>
      </c>
      <c r="AL120" s="224"/>
      <c r="AM120" s="225">
        <v>1</v>
      </c>
      <c r="AN120" s="224"/>
      <c r="AO120" s="224"/>
      <c r="AP120" s="225">
        <v>12</v>
      </c>
      <c r="AQ120" s="224"/>
      <c r="AR120" s="224"/>
      <c r="AS120" s="224"/>
      <c r="AT120" s="224"/>
      <c r="AU120" s="224"/>
      <c r="AV120" s="224"/>
      <c r="AW120" s="224"/>
      <c r="AX120" s="224"/>
      <c r="AY120" s="224"/>
      <c r="AZ120" s="224"/>
      <c r="BA120" s="224"/>
      <c r="BB120" s="224"/>
      <c r="BC120" s="224"/>
      <c r="BD120" s="224"/>
      <c r="BE120" s="224"/>
      <c r="BF120" s="224"/>
      <c r="BG120" s="224"/>
      <c r="BH120" s="224"/>
      <c r="BI120" s="224"/>
      <c r="BJ120" s="225">
        <v>14</v>
      </c>
      <c r="BK120" s="224"/>
      <c r="BL120" s="224"/>
      <c r="BM120" s="224"/>
      <c r="BN120" s="224"/>
      <c r="BO120" s="224"/>
      <c r="BP120" s="224"/>
      <c r="BQ120" s="224"/>
      <c r="BR120" s="224"/>
      <c r="BS120" s="224"/>
      <c r="BT120" s="224"/>
      <c r="BU120" s="224"/>
      <c r="BV120" s="224"/>
      <c r="BW120" s="224"/>
      <c r="BX120" s="224"/>
      <c r="BY120" s="224"/>
      <c r="BZ120" s="224"/>
      <c r="CA120" s="224"/>
      <c r="CB120" s="224"/>
      <c r="CC120" s="224"/>
      <c r="CD120" s="226">
        <v>14</v>
      </c>
    </row>
    <row r="121" spans="1:82" x14ac:dyDescent="0.3">
      <c r="A121" s="221" t="str">
        <f t="shared" si="3"/>
        <v>ADDResearch InfrastructureDaniel K. Inouye Solar Telescope (DKIST)Total</v>
      </c>
      <c r="B121" s="6" t="s">
        <v>81</v>
      </c>
      <c r="C121" s="6" t="s">
        <v>179</v>
      </c>
      <c r="D121" s="224" t="s">
        <v>192</v>
      </c>
      <c r="E121" s="6" t="s">
        <v>24</v>
      </c>
      <c r="F121" s="224"/>
      <c r="G121" s="224"/>
      <c r="H121" s="224"/>
      <c r="I121" s="224"/>
      <c r="J121" s="224"/>
      <c r="K121" s="224"/>
      <c r="L121" s="224"/>
      <c r="M121" s="224"/>
      <c r="N121" s="224"/>
      <c r="O121" s="224"/>
      <c r="P121" s="224"/>
      <c r="Q121" s="224"/>
      <c r="R121" s="224"/>
      <c r="S121" s="224"/>
      <c r="T121" s="224"/>
      <c r="U121" s="224"/>
      <c r="V121" s="224"/>
      <c r="W121" s="224"/>
      <c r="X121" s="224"/>
      <c r="Y121" s="224"/>
      <c r="Z121" s="224"/>
      <c r="AA121" s="224"/>
      <c r="AB121" s="224"/>
      <c r="AC121" s="224"/>
      <c r="AD121" s="224"/>
      <c r="AE121" s="224"/>
      <c r="AF121" s="224"/>
      <c r="AG121" s="224"/>
      <c r="AH121" s="224"/>
      <c r="AI121" s="225">
        <v>19.579999999999998</v>
      </c>
      <c r="AJ121" s="224"/>
      <c r="AK121" s="224"/>
      <c r="AL121" s="224"/>
      <c r="AM121" s="224"/>
      <c r="AN121" s="224"/>
      <c r="AO121" s="224"/>
      <c r="AP121" s="225">
        <v>19.579999999999998</v>
      </c>
      <c r="AQ121" s="224"/>
      <c r="AR121" s="224"/>
      <c r="AS121" s="224"/>
      <c r="AT121" s="224"/>
      <c r="AU121" s="224"/>
      <c r="AV121" s="224"/>
      <c r="AW121" s="224"/>
      <c r="AX121" s="224"/>
      <c r="AY121" s="224"/>
      <c r="AZ121" s="224"/>
      <c r="BA121" s="224"/>
      <c r="BB121" s="224"/>
      <c r="BC121" s="224"/>
      <c r="BD121" s="224"/>
      <c r="BE121" s="224"/>
      <c r="BF121" s="224"/>
      <c r="BG121" s="224"/>
      <c r="BH121" s="224"/>
      <c r="BI121" s="224"/>
      <c r="BJ121" s="225">
        <v>19.579999999999998</v>
      </c>
      <c r="BK121" s="224"/>
      <c r="BL121" s="224"/>
      <c r="BM121" s="224"/>
      <c r="BN121" s="224"/>
      <c r="BO121" s="224"/>
      <c r="BP121" s="224"/>
      <c r="BQ121" s="224"/>
      <c r="BR121" s="224"/>
      <c r="BS121" s="224"/>
      <c r="BT121" s="224"/>
      <c r="BU121" s="224"/>
      <c r="BV121" s="224"/>
      <c r="BW121" s="224"/>
      <c r="BX121" s="224"/>
      <c r="BY121" s="224"/>
      <c r="BZ121" s="224"/>
      <c r="CA121" s="224"/>
      <c r="CB121" s="224"/>
      <c r="CC121" s="224"/>
      <c r="CD121" s="226">
        <v>19.579999999999998</v>
      </c>
    </row>
    <row r="122" spans="1:82" x14ac:dyDescent="0.3">
      <c r="A122" s="221" t="str">
        <f t="shared" si="3"/>
        <v>ADDResearch InfrastructureGemini ObservatoryTotal</v>
      </c>
      <c r="B122" s="6" t="s">
        <v>81</v>
      </c>
      <c r="C122" s="6" t="s">
        <v>179</v>
      </c>
      <c r="D122" s="224" t="s">
        <v>193</v>
      </c>
      <c r="E122" s="6" t="s">
        <v>24</v>
      </c>
      <c r="F122" s="224"/>
      <c r="G122" s="224"/>
      <c r="H122" s="224"/>
      <c r="I122" s="224"/>
      <c r="J122" s="224"/>
      <c r="K122" s="224"/>
      <c r="L122" s="224"/>
      <c r="M122" s="224"/>
      <c r="N122" s="224"/>
      <c r="O122" s="224"/>
      <c r="P122" s="224"/>
      <c r="Q122" s="224"/>
      <c r="R122" s="224"/>
      <c r="S122" s="224"/>
      <c r="T122" s="224"/>
      <c r="U122" s="224"/>
      <c r="V122" s="224"/>
      <c r="W122" s="224"/>
      <c r="X122" s="224"/>
      <c r="Y122" s="224"/>
      <c r="Z122" s="224"/>
      <c r="AA122" s="224"/>
      <c r="AB122" s="224"/>
      <c r="AC122" s="224"/>
      <c r="AD122" s="224"/>
      <c r="AE122" s="224"/>
      <c r="AF122" s="224"/>
      <c r="AG122" s="224"/>
      <c r="AH122" s="224"/>
      <c r="AI122" s="225">
        <v>24.383216000000001</v>
      </c>
      <c r="AJ122" s="224"/>
      <c r="AK122" s="224"/>
      <c r="AL122" s="224"/>
      <c r="AM122" s="225">
        <v>1</v>
      </c>
      <c r="AN122" s="224"/>
      <c r="AO122" s="224"/>
      <c r="AP122" s="225">
        <v>25.383216000000001</v>
      </c>
      <c r="AQ122" s="224"/>
      <c r="AR122" s="224"/>
      <c r="AS122" s="224"/>
      <c r="AT122" s="224"/>
      <c r="AU122" s="224"/>
      <c r="AV122" s="224"/>
      <c r="AW122" s="224"/>
      <c r="AX122" s="224"/>
      <c r="AY122" s="224"/>
      <c r="AZ122" s="224"/>
      <c r="BA122" s="224"/>
      <c r="BB122" s="224"/>
      <c r="BC122" s="224"/>
      <c r="BD122" s="224"/>
      <c r="BE122" s="224"/>
      <c r="BF122" s="224"/>
      <c r="BG122" s="224"/>
      <c r="BH122" s="224"/>
      <c r="BI122" s="224"/>
      <c r="BJ122" s="225">
        <v>25.383216000000001</v>
      </c>
      <c r="BK122" s="224"/>
      <c r="BL122" s="224"/>
      <c r="BM122" s="224"/>
      <c r="BN122" s="224"/>
      <c r="BO122" s="224"/>
      <c r="BP122" s="224"/>
      <c r="BQ122" s="224"/>
      <c r="BR122" s="224"/>
      <c r="BS122" s="224"/>
      <c r="BT122" s="224"/>
      <c r="BU122" s="224"/>
      <c r="BV122" s="224"/>
      <c r="BW122" s="224"/>
      <c r="BX122" s="224"/>
      <c r="BY122" s="224"/>
      <c r="BZ122" s="224"/>
      <c r="CA122" s="224"/>
      <c r="CB122" s="224"/>
      <c r="CC122" s="224"/>
      <c r="CD122" s="226">
        <v>25.383216000000001</v>
      </c>
    </row>
    <row r="123" spans="1:82" x14ac:dyDescent="0.3">
      <c r="A123" s="221" t="str">
        <f t="shared" si="3"/>
        <v>ADDResearch InfrastructureGeodetic Facility for the Advancement of GEoscience (GAGE)Total</v>
      </c>
      <c r="B123" s="6" t="s">
        <v>81</v>
      </c>
      <c r="C123" s="6" t="s">
        <v>179</v>
      </c>
      <c r="D123" s="224" t="s">
        <v>194</v>
      </c>
      <c r="E123" s="6" t="s">
        <v>24</v>
      </c>
      <c r="F123" s="224"/>
      <c r="G123" s="224"/>
      <c r="H123" s="224"/>
      <c r="I123" s="224"/>
      <c r="J123" s="224"/>
      <c r="K123" s="224"/>
      <c r="L123" s="224"/>
      <c r="M123" s="224"/>
      <c r="N123" s="224"/>
      <c r="O123" s="224"/>
      <c r="P123" s="224"/>
      <c r="Q123" s="224"/>
      <c r="R123" s="224"/>
      <c r="S123" s="224"/>
      <c r="T123" s="224"/>
      <c r="U123" s="224"/>
      <c r="V123" s="224"/>
      <c r="W123" s="224"/>
      <c r="X123" s="224"/>
      <c r="Y123" s="224"/>
      <c r="Z123" s="224"/>
      <c r="AA123" s="224"/>
      <c r="AB123" s="224"/>
      <c r="AC123" s="225">
        <v>12.75</v>
      </c>
      <c r="AD123" s="224"/>
      <c r="AE123" s="225">
        <v>1.188293</v>
      </c>
      <c r="AF123" s="224"/>
      <c r="AG123" s="224"/>
      <c r="AH123" s="225">
        <v>13.938293</v>
      </c>
      <c r="AI123" s="224"/>
      <c r="AJ123" s="224"/>
      <c r="AK123" s="224"/>
      <c r="AL123" s="224"/>
      <c r="AM123" s="224"/>
      <c r="AN123" s="224"/>
      <c r="AO123" s="224"/>
      <c r="AP123" s="224"/>
      <c r="AQ123" s="224"/>
      <c r="AR123" s="224"/>
      <c r="AS123" s="224"/>
      <c r="AT123" s="224"/>
      <c r="AU123" s="224"/>
      <c r="AV123" s="224"/>
      <c r="AW123" s="224"/>
      <c r="AX123" s="224"/>
      <c r="AY123" s="224"/>
      <c r="AZ123" s="224"/>
      <c r="BA123" s="224"/>
      <c r="BB123" s="224"/>
      <c r="BC123" s="224"/>
      <c r="BD123" s="224"/>
      <c r="BE123" s="224"/>
      <c r="BF123" s="224"/>
      <c r="BG123" s="224"/>
      <c r="BH123" s="224"/>
      <c r="BI123" s="224"/>
      <c r="BJ123" s="225">
        <v>13.938293</v>
      </c>
      <c r="BK123" s="224"/>
      <c r="BL123" s="224"/>
      <c r="BM123" s="224"/>
      <c r="BN123" s="224"/>
      <c r="BO123" s="224"/>
      <c r="BP123" s="224"/>
      <c r="BQ123" s="224"/>
      <c r="BR123" s="224"/>
      <c r="BS123" s="224"/>
      <c r="BT123" s="224"/>
      <c r="BU123" s="224"/>
      <c r="BV123" s="224"/>
      <c r="BW123" s="224"/>
      <c r="BX123" s="224"/>
      <c r="BY123" s="224"/>
      <c r="BZ123" s="224"/>
      <c r="CA123" s="224"/>
      <c r="CB123" s="224"/>
      <c r="CC123" s="224"/>
      <c r="CD123" s="226">
        <v>13.938293</v>
      </c>
    </row>
    <row r="124" spans="1:82" x14ac:dyDescent="0.3">
      <c r="A124" s="221" t="str">
        <f t="shared" si="3"/>
        <v>ADDResearch InfrastructureGreen Bank Observatory (GBO)Total</v>
      </c>
      <c r="B124" s="6" t="s">
        <v>81</v>
      </c>
      <c r="C124" s="6" t="s">
        <v>179</v>
      </c>
      <c r="D124" s="224" t="s">
        <v>195</v>
      </c>
      <c r="E124" s="6" t="s">
        <v>24</v>
      </c>
      <c r="F124" s="224"/>
      <c r="G124" s="224"/>
      <c r="H124" s="224"/>
      <c r="I124" s="224"/>
      <c r="J124" s="224"/>
      <c r="K124" s="224"/>
      <c r="L124" s="224"/>
      <c r="M124" s="224"/>
      <c r="N124" s="224"/>
      <c r="O124" s="224"/>
      <c r="P124" s="224"/>
      <c r="Q124" s="224"/>
      <c r="R124" s="224"/>
      <c r="S124" s="224"/>
      <c r="T124" s="224"/>
      <c r="U124" s="224"/>
      <c r="V124" s="224"/>
      <c r="W124" s="224"/>
      <c r="X124" s="224"/>
      <c r="Y124" s="224"/>
      <c r="Z124" s="224"/>
      <c r="AA124" s="224"/>
      <c r="AB124" s="224"/>
      <c r="AC124" s="224"/>
      <c r="AD124" s="224"/>
      <c r="AE124" s="224"/>
      <c r="AF124" s="224"/>
      <c r="AG124" s="224"/>
      <c r="AH124" s="224"/>
      <c r="AI124" s="225">
        <v>10.23</v>
      </c>
      <c r="AJ124" s="224"/>
      <c r="AK124" s="224"/>
      <c r="AL124" s="224"/>
      <c r="AM124" s="225">
        <v>5.3</v>
      </c>
      <c r="AN124" s="224"/>
      <c r="AO124" s="224"/>
      <c r="AP124" s="225">
        <v>15.53</v>
      </c>
      <c r="AQ124" s="224"/>
      <c r="AR124" s="224"/>
      <c r="AS124" s="224"/>
      <c r="AT124" s="224"/>
      <c r="AU124" s="224"/>
      <c r="AV124" s="224"/>
      <c r="AW124" s="224"/>
      <c r="AX124" s="224"/>
      <c r="AY124" s="224"/>
      <c r="AZ124" s="224"/>
      <c r="BA124" s="224"/>
      <c r="BB124" s="224"/>
      <c r="BC124" s="224"/>
      <c r="BD124" s="224"/>
      <c r="BE124" s="224"/>
      <c r="BF124" s="224"/>
      <c r="BG124" s="224"/>
      <c r="BH124" s="224"/>
      <c r="BI124" s="224"/>
      <c r="BJ124" s="225">
        <v>15.53</v>
      </c>
      <c r="BK124" s="224"/>
      <c r="BL124" s="224"/>
      <c r="BM124" s="224"/>
      <c r="BN124" s="224"/>
      <c r="BO124" s="224"/>
      <c r="BP124" s="224"/>
      <c r="BQ124" s="224"/>
      <c r="BR124" s="224"/>
      <c r="BS124" s="224"/>
      <c r="BT124" s="224"/>
      <c r="BU124" s="224"/>
      <c r="BV124" s="224"/>
      <c r="BW124" s="224"/>
      <c r="BX124" s="224"/>
      <c r="BY124" s="224"/>
      <c r="BZ124" s="224"/>
      <c r="CA124" s="224"/>
      <c r="CB124" s="224"/>
      <c r="CC124" s="224"/>
      <c r="CD124" s="226">
        <v>15.53</v>
      </c>
    </row>
    <row r="125" spans="1:82" x14ac:dyDescent="0.3">
      <c r="A125" s="221" t="str">
        <f t="shared" si="3"/>
        <v>ADDResearch InfrastructureIceCube Neutrino Observatory (IceCube)Total</v>
      </c>
      <c r="B125" s="6" t="s">
        <v>81</v>
      </c>
      <c r="C125" s="6" t="s">
        <v>179</v>
      </c>
      <c r="D125" s="224" t="s">
        <v>196</v>
      </c>
      <c r="E125" s="6" t="s">
        <v>24</v>
      </c>
      <c r="F125" s="224"/>
      <c r="G125" s="224"/>
      <c r="H125" s="224"/>
      <c r="I125" s="224"/>
      <c r="J125" s="224"/>
      <c r="K125" s="224"/>
      <c r="L125" s="224"/>
      <c r="M125" s="224"/>
      <c r="N125" s="224"/>
      <c r="O125" s="224"/>
      <c r="P125" s="224"/>
      <c r="Q125" s="224"/>
      <c r="R125" s="224"/>
      <c r="S125" s="224"/>
      <c r="T125" s="224"/>
      <c r="U125" s="224"/>
      <c r="V125" s="224"/>
      <c r="W125" s="224"/>
      <c r="X125" s="224"/>
      <c r="Y125" s="224"/>
      <c r="Z125" s="224"/>
      <c r="AA125" s="224"/>
      <c r="AB125" s="224"/>
      <c r="AC125" s="224"/>
      <c r="AD125" s="224"/>
      <c r="AE125" s="225">
        <v>3.6584530000000002</v>
      </c>
      <c r="AF125" s="224"/>
      <c r="AG125" s="224"/>
      <c r="AH125" s="225">
        <v>3.6584530000000002</v>
      </c>
      <c r="AI125" s="224"/>
      <c r="AJ125" s="224"/>
      <c r="AK125" s="224"/>
      <c r="AL125" s="224"/>
      <c r="AM125" s="224"/>
      <c r="AN125" s="225">
        <v>3.6011099999999998</v>
      </c>
      <c r="AO125" s="224"/>
      <c r="AP125" s="225">
        <v>3.6011099999999998</v>
      </c>
      <c r="AQ125" s="224"/>
      <c r="AR125" s="224"/>
      <c r="AS125" s="224"/>
      <c r="AT125" s="224"/>
      <c r="AU125" s="224"/>
      <c r="AV125" s="224"/>
      <c r="AW125" s="224"/>
      <c r="AX125" s="224"/>
      <c r="AY125" s="224"/>
      <c r="AZ125" s="224"/>
      <c r="BA125" s="224"/>
      <c r="BB125" s="224"/>
      <c r="BC125" s="224"/>
      <c r="BD125" s="224"/>
      <c r="BE125" s="224"/>
      <c r="BF125" s="224"/>
      <c r="BG125" s="224"/>
      <c r="BH125" s="224"/>
      <c r="BI125" s="224"/>
      <c r="BJ125" s="225">
        <v>7.259563</v>
      </c>
      <c r="BK125" s="224"/>
      <c r="BL125" s="224"/>
      <c r="BM125" s="224"/>
      <c r="BN125" s="224"/>
      <c r="BO125" s="224"/>
      <c r="BP125" s="224"/>
      <c r="BQ125" s="224"/>
      <c r="BR125" s="224"/>
      <c r="BS125" s="224"/>
      <c r="BT125" s="224"/>
      <c r="BU125" s="224"/>
      <c r="BV125" s="224"/>
      <c r="BW125" s="224"/>
      <c r="BX125" s="224"/>
      <c r="BY125" s="224"/>
      <c r="BZ125" s="224"/>
      <c r="CA125" s="224"/>
      <c r="CB125" s="224"/>
      <c r="CC125" s="224"/>
      <c r="CD125" s="226">
        <v>7.259563</v>
      </c>
    </row>
    <row r="126" spans="1:82" x14ac:dyDescent="0.3">
      <c r="A126" s="221" t="str">
        <f t="shared" si="3"/>
        <v>ADDResearch InfrastructureInternational Ocean Discovery Program (IODP)Total</v>
      </c>
      <c r="B126" s="6" t="s">
        <v>81</v>
      </c>
      <c r="C126" s="6" t="s">
        <v>179</v>
      </c>
      <c r="D126" s="224" t="s">
        <v>197</v>
      </c>
      <c r="E126" s="6" t="s">
        <v>24</v>
      </c>
      <c r="F126" s="224"/>
      <c r="G126" s="224"/>
      <c r="H126" s="224"/>
      <c r="I126" s="224"/>
      <c r="J126" s="224"/>
      <c r="K126" s="224"/>
      <c r="L126" s="224"/>
      <c r="M126" s="224"/>
      <c r="N126" s="224"/>
      <c r="O126" s="224"/>
      <c r="P126" s="224"/>
      <c r="Q126" s="224"/>
      <c r="R126" s="224"/>
      <c r="S126" s="224"/>
      <c r="T126" s="224"/>
      <c r="U126" s="224"/>
      <c r="V126" s="224"/>
      <c r="W126" s="224"/>
      <c r="X126" s="224"/>
      <c r="Y126" s="224"/>
      <c r="Z126" s="224"/>
      <c r="AA126" s="224"/>
      <c r="AB126" s="224"/>
      <c r="AC126" s="224"/>
      <c r="AD126" s="225">
        <v>51.7</v>
      </c>
      <c r="AE126" s="224"/>
      <c r="AF126" s="224"/>
      <c r="AG126" s="224"/>
      <c r="AH126" s="225">
        <v>51.7</v>
      </c>
      <c r="AI126" s="224"/>
      <c r="AJ126" s="224"/>
      <c r="AK126" s="224"/>
      <c r="AL126" s="224"/>
      <c r="AM126" s="224"/>
      <c r="AN126" s="224"/>
      <c r="AO126" s="224"/>
      <c r="AP126" s="224"/>
      <c r="AQ126" s="224"/>
      <c r="AR126" s="224"/>
      <c r="AS126" s="224"/>
      <c r="AT126" s="224"/>
      <c r="AU126" s="224"/>
      <c r="AV126" s="224"/>
      <c r="AW126" s="224"/>
      <c r="AX126" s="224"/>
      <c r="AY126" s="224"/>
      <c r="AZ126" s="224"/>
      <c r="BA126" s="224"/>
      <c r="BB126" s="224"/>
      <c r="BC126" s="224"/>
      <c r="BD126" s="224"/>
      <c r="BE126" s="224"/>
      <c r="BF126" s="224"/>
      <c r="BG126" s="224"/>
      <c r="BH126" s="224"/>
      <c r="BI126" s="224"/>
      <c r="BJ126" s="225">
        <v>51.7</v>
      </c>
      <c r="BK126" s="224"/>
      <c r="BL126" s="224"/>
      <c r="BM126" s="224"/>
      <c r="BN126" s="224"/>
      <c r="BO126" s="224"/>
      <c r="BP126" s="224"/>
      <c r="BQ126" s="224"/>
      <c r="BR126" s="224"/>
      <c r="BS126" s="224"/>
      <c r="BT126" s="224"/>
      <c r="BU126" s="224"/>
      <c r="BV126" s="224"/>
      <c r="BW126" s="224"/>
      <c r="BX126" s="224"/>
      <c r="BY126" s="224"/>
      <c r="BZ126" s="224"/>
      <c r="CA126" s="224"/>
      <c r="CB126" s="224"/>
      <c r="CC126" s="224"/>
      <c r="CD126" s="226">
        <v>51.7</v>
      </c>
    </row>
    <row r="127" spans="1:82" x14ac:dyDescent="0.3">
      <c r="A127" s="221" t="str">
        <f t="shared" si="3"/>
        <v>ADDResearch InfrastructureLarge Hadron Collider (LHC)Total</v>
      </c>
      <c r="B127" s="6" t="s">
        <v>81</v>
      </c>
      <c r="C127" s="6" t="s">
        <v>179</v>
      </c>
      <c r="D127" s="224" t="s">
        <v>198</v>
      </c>
      <c r="E127" s="6" t="s">
        <v>24</v>
      </c>
      <c r="F127" s="224"/>
      <c r="G127" s="224"/>
      <c r="H127" s="224"/>
      <c r="I127" s="224"/>
      <c r="J127" s="224"/>
      <c r="K127" s="224"/>
      <c r="L127" s="224"/>
      <c r="M127" s="224"/>
      <c r="N127" s="224"/>
      <c r="O127" s="224"/>
      <c r="P127" s="224"/>
      <c r="Q127" s="224"/>
      <c r="R127" s="224"/>
      <c r="S127" s="224"/>
      <c r="T127" s="224"/>
      <c r="U127" s="224"/>
      <c r="V127" s="224"/>
      <c r="W127" s="224"/>
      <c r="X127" s="224"/>
      <c r="Y127" s="224"/>
      <c r="Z127" s="224"/>
      <c r="AA127" s="224"/>
      <c r="AB127" s="224"/>
      <c r="AC127" s="224"/>
      <c r="AD127" s="224"/>
      <c r="AE127" s="224"/>
      <c r="AF127" s="224"/>
      <c r="AG127" s="224"/>
      <c r="AH127" s="224"/>
      <c r="AI127" s="224"/>
      <c r="AJ127" s="224"/>
      <c r="AK127" s="224"/>
      <c r="AL127" s="224"/>
      <c r="AM127" s="224"/>
      <c r="AN127" s="225">
        <v>21.514659000000002</v>
      </c>
      <c r="AO127" s="224"/>
      <c r="AP127" s="225">
        <v>21.514659000000002</v>
      </c>
      <c r="AQ127" s="224"/>
      <c r="AR127" s="224"/>
      <c r="AS127" s="224"/>
      <c r="AT127" s="224"/>
      <c r="AU127" s="224"/>
      <c r="AV127" s="224"/>
      <c r="AW127" s="224"/>
      <c r="AX127" s="224"/>
      <c r="AY127" s="224"/>
      <c r="AZ127" s="224"/>
      <c r="BA127" s="224"/>
      <c r="BB127" s="224"/>
      <c r="BC127" s="224"/>
      <c r="BD127" s="224"/>
      <c r="BE127" s="224"/>
      <c r="BF127" s="224"/>
      <c r="BG127" s="224"/>
      <c r="BH127" s="224"/>
      <c r="BI127" s="224"/>
      <c r="BJ127" s="225">
        <v>21.514659000000002</v>
      </c>
      <c r="BK127" s="224"/>
      <c r="BL127" s="224"/>
      <c r="BM127" s="224"/>
      <c r="BN127" s="224"/>
      <c r="BO127" s="224"/>
      <c r="BP127" s="224"/>
      <c r="BQ127" s="224"/>
      <c r="BR127" s="225">
        <v>10.582829</v>
      </c>
      <c r="BS127" s="225">
        <v>10.582829</v>
      </c>
      <c r="BT127" s="225">
        <v>10.582829</v>
      </c>
      <c r="BU127" s="224"/>
      <c r="BV127" s="224"/>
      <c r="BW127" s="224"/>
      <c r="BX127" s="224"/>
      <c r="BY127" s="224"/>
      <c r="BZ127" s="224"/>
      <c r="CA127" s="224"/>
      <c r="CB127" s="224"/>
      <c r="CC127" s="224"/>
      <c r="CD127" s="226">
        <v>32.097487999999998</v>
      </c>
    </row>
    <row r="128" spans="1:82" x14ac:dyDescent="0.3">
      <c r="A128" s="221" t="str">
        <f t="shared" si="3"/>
        <v>ADDResearch InfrastructureLaser-Interferometer Gravitational-Wave Observatory (LIGO)Total</v>
      </c>
      <c r="B128" s="6" t="s">
        <v>81</v>
      </c>
      <c r="C128" s="6" t="s">
        <v>179</v>
      </c>
      <c r="D128" s="224" t="s">
        <v>199</v>
      </c>
      <c r="E128" s="6" t="s">
        <v>24</v>
      </c>
      <c r="F128" s="224"/>
      <c r="G128" s="224"/>
      <c r="H128" s="224"/>
      <c r="I128" s="224"/>
      <c r="J128" s="224"/>
      <c r="K128" s="224"/>
      <c r="L128" s="224"/>
      <c r="M128" s="224"/>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24"/>
      <c r="AL128" s="224"/>
      <c r="AM128" s="224"/>
      <c r="AN128" s="225">
        <v>45</v>
      </c>
      <c r="AO128" s="224"/>
      <c r="AP128" s="225">
        <v>45</v>
      </c>
      <c r="AQ128" s="224"/>
      <c r="AR128" s="224"/>
      <c r="AS128" s="224"/>
      <c r="AT128" s="224"/>
      <c r="AU128" s="224"/>
      <c r="AV128" s="224"/>
      <c r="AW128" s="224"/>
      <c r="AX128" s="224"/>
      <c r="AY128" s="224"/>
      <c r="AZ128" s="224"/>
      <c r="BA128" s="224"/>
      <c r="BB128" s="224"/>
      <c r="BC128" s="224"/>
      <c r="BD128" s="224"/>
      <c r="BE128" s="224"/>
      <c r="BF128" s="224"/>
      <c r="BG128" s="224"/>
      <c r="BH128" s="224"/>
      <c r="BI128" s="224"/>
      <c r="BJ128" s="225">
        <v>45</v>
      </c>
      <c r="BK128" s="224"/>
      <c r="BL128" s="224"/>
      <c r="BM128" s="224"/>
      <c r="BN128" s="224"/>
      <c r="BO128" s="224"/>
      <c r="BP128" s="224"/>
      <c r="BQ128" s="224"/>
      <c r="BR128" s="224"/>
      <c r="BS128" s="224"/>
      <c r="BT128" s="224"/>
      <c r="BU128" s="224"/>
      <c r="BV128" s="224"/>
      <c r="BW128" s="224"/>
      <c r="BX128" s="224"/>
      <c r="BY128" s="224"/>
      <c r="BZ128" s="224"/>
      <c r="CA128" s="224"/>
      <c r="CB128" s="224"/>
      <c r="CC128" s="224"/>
      <c r="CD128" s="226">
        <v>45</v>
      </c>
    </row>
    <row r="129" spans="1:82" x14ac:dyDescent="0.3">
      <c r="A129" s="221" t="str">
        <f t="shared" si="3"/>
        <v>ADDResearch InfrastructureMajor Research Instrumentation (MRI)Total</v>
      </c>
      <c r="B129" s="6" t="s">
        <v>81</v>
      </c>
      <c r="C129" s="6" t="s">
        <v>179</v>
      </c>
      <c r="D129" s="224" t="s">
        <v>200</v>
      </c>
      <c r="E129" s="6" t="s">
        <v>24</v>
      </c>
      <c r="F129" s="224"/>
      <c r="G129" s="224"/>
      <c r="H129" s="224"/>
      <c r="I129" s="224"/>
      <c r="J129" s="224"/>
      <c r="K129" s="224"/>
      <c r="L129" s="224"/>
      <c r="M129" s="224"/>
      <c r="N129" s="224"/>
      <c r="O129" s="224"/>
      <c r="P129" s="224"/>
      <c r="Q129" s="224"/>
      <c r="R129" s="224"/>
      <c r="S129" s="224"/>
      <c r="T129" s="224"/>
      <c r="U129" s="224"/>
      <c r="V129" s="224"/>
      <c r="W129" s="224"/>
      <c r="X129" s="224"/>
      <c r="Y129" s="224"/>
      <c r="Z129" s="224"/>
      <c r="AA129" s="224"/>
      <c r="AB129" s="225">
        <v>0.20605599999999999</v>
      </c>
      <c r="AC129" s="224"/>
      <c r="AD129" s="224"/>
      <c r="AE129" s="224"/>
      <c r="AF129" s="224"/>
      <c r="AG129" s="224"/>
      <c r="AH129" s="225">
        <v>0.20605599999999999</v>
      </c>
      <c r="AI129" s="224"/>
      <c r="AJ129" s="224"/>
      <c r="AK129" s="224"/>
      <c r="AL129" s="224"/>
      <c r="AM129" s="224"/>
      <c r="AN129" s="224"/>
      <c r="AO129" s="224"/>
      <c r="AP129" s="224"/>
      <c r="AQ129" s="225">
        <v>1.4E-3</v>
      </c>
      <c r="AR129" s="224"/>
      <c r="AS129" s="224"/>
      <c r="AT129" s="224"/>
      <c r="AU129" s="224"/>
      <c r="AV129" s="225">
        <v>1.4E-3</v>
      </c>
      <c r="AW129" s="224"/>
      <c r="AX129" s="224"/>
      <c r="AY129" s="224"/>
      <c r="AZ129" s="224"/>
      <c r="BA129" s="224"/>
      <c r="BB129" s="224"/>
      <c r="BC129" s="224"/>
      <c r="BD129" s="225">
        <v>78.006416000000002</v>
      </c>
      <c r="BE129" s="225">
        <v>78.006416000000002</v>
      </c>
      <c r="BF129" s="224"/>
      <c r="BG129" s="224"/>
      <c r="BH129" s="224"/>
      <c r="BI129" s="224"/>
      <c r="BJ129" s="225">
        <v>78.213871999999995</v>
      </c>
      <c r="BK129" s="224"/>
      <c r="BL129" s="224"/>
      <c r="BM129" s="224"/>
      <c r="BN129" s="224"/>
      <c r="BO129" s="224"/>
      <c r="BP129" s="224"/>
      <c r="BQ129" s="224"/>
      <c r="BR129" s="224"/>
      <c r="BS129" s="224"/>
      <c r="BT129" s="224"/>
      <c r="BU129" s="224"/>
      <c r="BV129" s="224"/>
      <c r="BW129" s="224"/>
      <c r="BX129" s="224"/>
      <c r="BY129" s="224"/>
      <c r="BZ129" s="224"/>
      <c r="CA129" s="224"/>
      <c r="CB129" s="224"/>
      <c r="CC129" s="224"/>
      <c r="CD129" s="226">
        <v>78.213871999999995</v>
      </c>
    </row>
    <row r="130" spans="1:82" x14ac:dyDescent="0.3">
      <c r="A130" s="221" t="str">
        <f t="shared" si="3"/>
        <v>ADDResearch InfrastructureMRIDP: Mid-scale RI Directorate ProgramsTotal</v>
      </c>
      <c r="B130" s="6" t="s">
        <v>81</v>
      </c>
      <c r="C130" s="6" t="s">
        <v>179</v>
      </c>
      <c r="D130" s="224" t="s">
        <v>201</v>
      </c>
      <c r="E130" s="6" t="s">
        <v>24</v>
      </c>
      <c r="F130" s="224"/>
      <c r="G130" s="224"/>
      <c r="H130" s="224"/>
      <c r="I130" s="224"/>
      <c r="J130" s="224"/>
      <c r="K130" s="224"/>
      <c r="L130" s="224"/>
      <c r="M130" s="224"/>
      <c r="N130" s="224"/>
      <c r="O130" s="224"/>
      <c r="P130" s="224"/>
      <c r="Q130" s="224"/>
      <c r="R130" s="224"/>
      <c r="S130" s="224"/>
      <c r="T130" s="224"/>
      <c r="U130" s="225">
        <v>1.4E-3</v>
      </c>
      <c r="V130" s="224"/>
      <c r="W130" s="224"/>
      <c r="X130" s="224"/>
      <c r="Y130" s="224"/>
      <c r="Z130" s="224"/>
      <c r="AA130" s="225">
        <v>1.4E-3</v>
      </c>
      <c r="AB130" s="224"/>
      <c r="AC130" s="224"/>
      <c r="AD130" s="225">
        <v>3.6507740000000002</v>
      </c>
      <c r="AE130" s="224"/>
      <c r="AF130" s="225">
        <v>0</v>
      </c>
      <c r="AG130" s="224"/>
      <c r="AH130" s="225">
        <v>3.6507740000000002</v>
      </c>
      <c r="AI130" s="225">
        <v>17.909452000000002</v>
      </c>
      <c r="AJ130" s="225">
        <v>0.4</v>
      </c>
      <c r="AK130" s="225">
        <v>30.83615</v>
      </c>
      <c r="AL130" s="224"/>
      <c r="AM130" s="225">
        <v>1.1022689999999999</v>
      </c>
      <c r="AN130" s="225">
        <v>19.151264000000001</v>
      </c>
      <c r="AO130" s="224"/>
      <c r="AP130" s="225">
        <v>69.399135000000001</v>
      </c>
      <c r="AQ130" s="224"/>
      <c r="AR130" s="224"/>
      <c r="AS130" s="224"/>
      <c r="AT130" s="224"/>
      <c r="AU130" s="224"/>
      <c r="AV130" s="224"/>
      <c r="AW130" s="224"/>
      <c r="AX130" s="224"/>
      <c r="AY130" s="224"/>
      <c r="AZ130" s="224"/>
      <c r="BA130" s="224"/>
      <c r="BB130" s="224"/>
      <c r="BC130" s="224"/>
      <c r="BD130" s="224"/>
      <c r="BE130" s="224"/>
      <c r="BF130" s="224"/>
      <c r="BG130" s="224"/>
      <c r="BH130" s="224"/>
      <c r="BI130" s="224"/>
      <c r="BJ130" s="225">
        <v>73.051309000000003</v>
      </c>
      <c r="BK130" s="224"/>
      <c r="BL130" s="224"/>
      <c r="BM130" s="224"/>
      <c r="BN130" s="224"/>
      <c r="BO130" s="224"/>
      <c r="BP130" s="224"/>
      <c r="BQ130" s="224"/>
      <c r="BR130" s="224"/>
      <c r="BS130" s="224"/>
      <c r="BT130" s="224"/>
      <c r="BU130" s="224"/>
      <c r="BV130" s="224"/>
      <c r="BW130" s="224"/>
      <c r="BX130" s="224"/>
      <c r="BY130" s="224"/>
      <c r="BZ130" s="224"/>
      <c r="CA130" s="224"/>
      <c r="CB130" s="224"/>
      <c r="CC130" s="224"/>
      <c r="CD130" s="226">
        <v>73.051309000000003</v>
      </c>
    </row>
    <row r="131" spans="1:82" x14ac:dyDescent="0.3">
      <c r="A131" s="221" t="str">
        <f t="shared" si="3"/>
        <v>ADDResearch InfrastructureMSRIAP: Mid-scale Research Infrastructure Agency ProgramTotal</v>
      </c>
      <c r="B131" s="6" t="s">
        <v>81</v>
      </c>
      <c r="C131" s="6" t="s">
        <v>179</v>
      </c>
      <c r="D131" s="224" t="s">
        <v>202</v>
      </c>
      <c r="E131" s="6" t="s">
        <v>24</v>
      </c>
      <c r="F131" s="224"/>
      <c r="G131" s="224"/>
      <c r="H131" s="224"/>
      <c r="I131" s="224"/>
      <c r="J131" s="224"/>
      <c r="K131" s="224"/>
      <c r="L131" s="224"/>
      <c r="M131" s="224"/>
      <c r="N131" s="224"/>
      <c r="O131" s="224"/>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4"/>
      <c r="AL131" s="224"/>
      <c r="AM131" s="224"/>
      <c r="AN131" s="224"/>
      <c r="AO131" s="224"/>
      <c r="AP131" s="224"/>
      <c r="AQ131" s="224"/>
      <c r="AR131" s="224"/>
      <c r="AS131" s="224"/>
      <c r="AT131" s="224"/>
      <c r="AU131" s="224"/>
      <c r="AV131" s="224"/>
      <c r="AW131" s="224"/>
      <c r="AX131" s="224"/>
      <c r="AY131" s="224"/>
      <c r="AZ131" s="224"/>
      <c r="BA131" s="224"/>
      <c r="BB131" s="224"/>
      <c r="BC131" s="224"/>
      <c r="BD131" s="225">
        <v>39.995601000000001</v>
      </c>
      <c r="BE131" s="225">
        <v>39.995601000000001</v>
      </c>
      <c r="BF131" s="224"/>
      <c r="BG131" s="224"/>
      <c r="BH131" s="224"/>
      <c r="BI131" s="224"/>
      <c r="BJ131" s="225">
        <v>39.995601000000001</v>
      </c>
      <c r="BK131" s="224"/>
      <c r="BL131" s="224"/>
      <c r="BM131" s="224"/>
      <c r="BN131" s="224"/>
      <c r="BO131" s="224"/>
      <c r="BP131" s="224"/>
      <c r="BQ131" s="224"/>
      <c r="BR131" s="225">
        <v>36.673214000000002</v>
      </c>
      <c r="BS131" s="225">
        <v>36.673214000000002</v>
      </c>
      <c r="BT131" s="225">
        <v>36.673214000000002</v>
      </c>
      <c r="BU131" s="224"/>
      <c r="BV131" s="224"/>
      <c r="BW131" s="224"/>
      <c r="BX131" s="224"/>
      <c r="BY131" s="224"/>
      <c r="BZ131" s="224"/>
      <c r="CA131" s="224"/>
      <c r="CB131" s="224"/>
      <c r="CC131" s="224"/>
      <c r="CD131" s="226">
        <v>76.668814999999995</v>
      </c>
    </row>
    <row r="132" spans="1:82" x14ac:dyDescent="0.3">
      <c r="A132" s="221" t="str">
        <f t="shared" si="3"/>
        <v>ADDResearch InfrastructureNational Center for Atmospheric Research (NCAR)Total</v>
      </c>
      <c r="B132" s="6" t="s">
        <v>81</v>
      </c>
      <c r="C132" s="6" t="s">
        <v>179</v>
      </c>
      <c r="D132" s="224" t="s">
        <v>203</v>
      </c>
      <c r="E132" s="6" t="s">
        <v>24</v>
      </c>
      <c r="F132" s="224"/>
      <c r="G132" s="224"/>
      <c r="H132" s="224"/>
      <c r="I132" s="224"/>
      <c r="J132" s="224"/>
      <c r="K132" s="224"/>
      <c r="L132" s="224"/>
      <c r="M132" s="224"/>
      <c r="N132" s="224"/>
      <c r="O132" s="224"/>
      <c r="P132" s="224"/>
      <c r="Q132" s="224"/>
      <c r="R132" s="224"/>
      <c r="S132" s="224"/>
      <c r="T132" s="224"/>
      <c r="U132" s="224"/>
      <c r="V132" s="224"/>
      <c r="W132" s="224"/>
      <c r="X132" s="224"/>
      <c r="Y132" s="224"/>
      <c r="Z132" s="224"/>
      <c r="AA132" s="224"/>
      <c r="AB132" s="225">
        <v>104.63552799999999</v>
      </c>
      <c r="AC132" s="224"/>
      <c r="AD132" s="224"/>
      <c r="AE132" s="224"/>
      <c r="AF132" s="224"/>
      <c r="AG132" s="224"/>
      <c r="AH132" s="225">
        <v>104.63552799999999</v>
      </c>
      <c r="AI132" s="224"/>
      <c r="AJ132" s="224"/>
      <c r="AK132" s="224"/>
      <c r="AL132" s="224"/>
      <c r="AM132" s="224"/>
      <c r="AN132" s="224"/>
      <c r="AO132" s="224"/>
      <c r="AP132" s="224"/>
      <c r="AQ132" s="224"/>
      <c r="AR132" s="224"/>
      <c r="AS132" s="224"/>
      <c r="AT132" s="224"/>
      <c r="AU132" s="224"/>
      <c r="AV132" s="224"/>
      <c r="AW132" s="224"/>
      <c r="AX132" s="224"/>
      <c r="AY132" s="224"/>
      <c r="AZ132" s="224"/>
      <c r="BA132" s="224"/>
      <c r="BB132" s="224"/>
      <c r="BC132" s="224"/>
      <c r="BD132" s="224"/>
      <c r="BE132" s="224"/>
      <c r="BF132" s="224"/>
      <c r="BG132" s="224"/>
      <c r="BH132" s="224"/>
      <c r="BI132" s="224"/>
      <c r="BJ132" s="225">
        <v>104.63552799999999</v>
      </c>
      <c r="BK132" s="224"/>
      <c r="BL132" s="224"/>
      <c r="BM132" s="224"/>
      <c r="BN132" s="224"/>
      <c r="BO132" s="224"/>
      <c r="BP132" s="224"/>
      <c r="BQ132" s="224"/>
      <c r="BR132" s="224"/>
      <c r="BS132" s="224"/>
      <c r="BT132" s="224"/>
      <c r="BU132" s="224"/>
      <c r="BV132" s="224"/>
      <c r="BW132" s="224"/>
      <c r="BX132" s="224"/>
      <c r="BY132" s="224"/>
      <c r="BZ132" s="224"/>
      <c r="CA132" s="224"/>
      <c r="CB132" s="224"/>
      <c r="CC132" s="224"/>
      <c r="CD132" s="226">
        <v>104.63552799999999</v>
      </c>
    </row>
    <row r="133" spans="1:82" x14ac:dyDescent="0.3">
      <c r="A133" s="221" t="str">
        <f t="shared" si="3"/>
        <v>ADDResearch InfrastructureNational Center for Science &amp; Engineering Statistics (NCSES)Total</v>
      </c>
      <c r="B133" s="6" t="s">
        <v>81</v>
      </c>
      <c r="C133" s="6" t="s">
        <v>179</v>
      </c>
      <c r="D133" s="224" t="s">
        <v>204</v>
      </c>
      <c r="E133" s="6" t="s">
        <v>24</v>
      </c>
      <c r="F133" s="224"/>
      <c r="G133" s="224"/>
      <c r="H133" s="224"/>
      <c r="I133" s="224"/>
      <c r="J133" s="224"/>
      <c r="K133" s="224"/>
      <c r="L133" s="224"/>
      <c r="M133" s="224"/>
      <c r="N133" s="224"/>
      <c r="O133" s="224"/>
      <c r="P133" s="224"/>
      <c r="Q133" s="224"/>
      <c r="R133" s="224"/>
      <c r="S133" s="224"/>
      <c r="T133" s="224"/>
      <c r="U133" s="224"/>
      <c r="V133" s="224"/>
      <c r="W133" s="224"/>
      <c r="X133" s="224"/>
      <c r="Y133" s="224"/>
      <c r="Z133" s="224"/>
      <c r="AA133" s="224"/>
      <c r="AB133" s="224"/>
      <c r="AC133" s="224"/>
      <c r="AD133" s="224"/>
      <c r="AE133" s="224"/>
      <c r="AF133" s="224"/>
      <c r="AG133" s="224"/>
      <c r="AH133" s="224"/>
      <c r="AI133" s="224"/>
      <c r="AJ133" s="224"/>
      <c r="AK133" s="224"/>
      <c r="AL133" s="224"/>
      <c r="AM133" s="224"/>
      <c r="AN133" s="224"/>
      <c r="AO133" s="224"/>
      <c r="AP133" s="224"/>
      <c r="AQ133" s="224"/>
      <c r="AR133" s="225">
        <v>55.309081999999997</v>
      </c>
      <c r="AS133" s="224"/>
      <c r="AT133" s="224"/>
      <c r="AU133" s="224"/>
      <c r="AV133" s="225">
        <v>55.309081999999997</v>
      </c>
      <c r="AW133" s="224"/>
      <c r="AX133" s="224"/>
      <c r="AY133" s="224"/>
      <c r="AZ133" s="224"/>
      <c r="BA133" s="224"/>
      <c r="BB133" s="224"/>
      <c r="BC133" s="224"/>
      <c r="BD133" s="224"/>
      <c r="BE133" s="224"/>
      <c r="BF133" s="224"/>
      <c r="BG133" s="224"/>
      <c r="BH133" s="224"/>
      <c r="BI133" s="224"/>
      <c r="BJ133" s="225">
        <v>55.309081999999997</v>
      </c>
      <c r="BK133" s="224"/>
      <c r="BL133" s="224"/>
      <c r="BM133" s="224"/>
      <c r="BN133" s="224"/>
      <c r="BO133" s="224"/>
      <c r="BP133" s="224"/>
      <c r="BQ133" s="224"/>
      <c r="BR133" s="224"/>
      <c r="BS133" s="224"/>
      <c r="BT133" s="224"/>
      <c r="BU133" s="224"/>
      <c r="BV133" s="224"/>
      <c r="BW133" s="224"/>
      <c r="BX133" s="224"/>
      <c r="BY133" s="224"/>
      <c r="BZ133" s="224"/>
      <c r="CA133" s="224"/>
      <c r="CB133" s="224"/>
      <c r="CC133" s="224"/>
      <c r="CD133" s="226">
        <v>55.309081999999997</v>
      </c>
    </row>
    <row r="134" spans="1:82" x14ac:dyDescent="0.3">
      <c r="A134" s="221" t="str">
        <f t="shared" si="3"/>
        <v>ADDResearch InfrastructureNational Ecological Observatory Network (NEON)Total</v>
      </c>
      <c r="B134" s="6" t="s">
        <v>81</v>
      </c>
      <c r="C134" s="6" t="s">
        <v>179</v>
      </c>
      <c r="D134" s="224" t="s">
        <v>205</v>
      </c>
      <c r="E134" s="6" t="s">
        <v>24</v>
      </c>
      <c r="F134" s="225">
        <v>69.005415999999997</v>
      </c>
      <c r="G134" s="224"/>
      <c r="H134" s="224"/>
      <c r="I134" s="224"/>
      <c r="J134" s="224"/>
      <c r="K134" s="224"/>
      <c r="L134" s="225">
        <v>69.005415999999997</v>
      </c>
      <c r="M134" s="224"/>
      <c r="N134" s="224"/>
      <c r="O134" s="224"/>
      <c r="P134" s="224"/>
      <c r="Q134" s="224"/>
      <c r="R134" s="224"/>
      <c r="S134" s="224"/>
      <c r="T134" s="224"/>
      <c r="U134" s="224"/>
      <c r="V134" s="224"/>
      <c r="W134" s="224"/>
      <c r="X134" s="224"/>
      <c r="Y134" s="224"/>
      <c r="Z134" s="224"/>
      <c r="AA134" s="224"/>
      <c r="AB134" s="224"/>
      <c r="AC134" s="224"/>
      <c r="AD134" s="224"/>
      <c r="AE134" s="224"/>
      <c r="AF134" s="224"/>
      <c r="AG134" s="224"/>
      <c r="AH134" s="224"/>
      <c r="AI134" s="224"/>
      <c r="AJ134" s="224"/>
      <c r="AK134" s="224"/>
      <c r="AL134" s="224"/>
      <c r="AM134" s="224"/>
      <c r="AN134" s="224"/>
      <c r="AO134" s="224"/>
      <c r="AP134" s="224"/>
      <c r="AQ134" s="224"/>
      <c r="AR134" s="224"/>
      <c r="AS134" s="224"/>
      <c r="AT134" s="224"/>
      <c r="AU134" s="224"/>
      <c r="AV134" s="224"/>
      <c r="AW134" s="224"/>
      <c r="AX134" s="224"/>
      <c r="AY134" s="224"/>
      <c r="AZ134" s="224"/>
      <c r="BA134" s="224"/>
      <c r="BB134" s="224"/>
      <c r="BC134" s="224"/>
      <c r="BD134" s="224"/>
      <c r="BE134" s="224"/>
      <c r="BF134" s="224"/>
      <c r="BG134" s="224"/>
      <c r="BH134" s="224"/>
      <c r="BI134" s="224"/>
      <c r="BJ134" s="225">
        <v>69.005415999999997</v>
      </c>
      <c r="BK134" s="224"/>
      <c r="BL134" s="224"/>
      <c r="BM134" s="224"/>
      <c r="BN134" s="224"/>
      <c r="BO134" s="224"/>
      <c r="BP134" s="224"/>
      <c r="BQ134" s="224"/>
      <c r="BR134" s="224"/>
      <c r="BS134" s="224"/>
      <c r="BT134" s="224"/>
      <c r="BU134" s="224"/>
      <c r="BV134" s="224"/>
      <c r="BW134" s="224"/>
      <c r="BX134" s="224"/>
      <c r="BY134" s="224"/>
      <c r="BZ134" s="224"/>
      <c r="CA134" s="224"/>
      <c r="CB134" s="224"/>
      <c r="CC134" s="224"/>
      <c r="CD134" s="226">
        <v>69.005415999999997</v>
      </c>
    </row>
    <row r="135" spans="1:82" x14ac:dyDescent="0.3">
      <c r="A135" s="221" t="str">
        <f t="shared" si="3"/>
        <v>ADDResearch InfrastructureNational High-Magnetic Field Laboratory (NHMFL)Total</v>
      </c>
      <c r="B135" s="6" t="s">
        <v>81</v>
      </c>
      <c r="C135" s="6" t="s">
        <v>179</v>
      </c>
      <c r="D135" s="224" t="s">
        <v>206</v>
      </c>
      <c r="E135" s="6" t="s">
        <v>24</v>
      </c>
      <c r="F135" s="224"/>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225">
        <v>1.73</v>
      </c>
      <c r="AK135" s="225">
        <v>37.18</v>
      </c>
      <c r="AL135" s="224"/>
      <c r="AM135" s="224"/>
      <c r="AN135" s="224"/>
      <c r="AO135" s="224"/>
      <c r="AP135" s="225">
        <v>38.909999999999997</v>
      </c>
      <c r="AQ135" s="224"/>
      <c r="AR135" s="224"/>
      <c r="AS135" s="224"/>
      <c r="AT135" s="224"/>
      <c r="AU135" s="224"/>
      <c r="AV135" s="224"/>
      <c r="AW135" s="224"/>
      <c r="AX135" s="224"/>
      <c r="AY135" s="224"/>
      <c r="AZ135" s="224"/>
      <c r="BA135" s="224"/>
      <c r="BB135" s="224"/>
      <c r="BC135" s="224"/>
      <c r="BD135" s="224"/>
      <c r="BE135" s="224"/>
      <c r="BF135" s="224"/>
      <c r="BG135" s="224"/>
      <c r="BH135" s="224"/>
      <c r="BI135" s="224"/>
      <c r="BJ135" s="225">
        <v>38.909999999999997</v>
      </c>
      <c r="BK135" s="224"/>
      <c r="BL135" s="224"/>
      <c r="BM135" s="224"/>
      <c r="BN135" s="224"/>
      <c r="BO135" s="224"/>
      <c r="BP135" s="224"/>
      <c r="BQ135" s="224"/>
      <c r="BR135" s="224"/>
      <c r="BS135" s="224"/>
      <c r="BT135" s="224"/>
      <c r="BU135" s="224"/>
      <c r="BV135" s="224"/>
      <c r="BW135" s="224"/>
      <c r="BX135" s="224"/>
      <c r="BY135" s="224"/>
      <c r="BZ135" s="224"/>
      <c r="CA135" s="224"/>
      <c r="CB135" s="224"/>
      <c r="CC135" s="224"/>
      <c r="CD135" s="226">
        <v>38.909999999999997</v>
      </c>
    </row>
    <row r="136" spans="1:82" x14ac:dyDescent="0.3">
      <c r="A136" s="221" t="str">
        <f t="shared" si="3"/>
        <v>ADDResearch InfrastructureNational Nanotechnology Coordinated Infrastructure (NNCI)Total</v>
      </c>
      <c r="B136" s="6" t="s">
        <v>81</v>
      </c>
      <c r="C136" s="6" t="s">
        <v>179</v>
      </c>
      <c r="D136" s="224" t="s">
        <v>207</v>
      </c>
      <c r="E136" s="6" t="s">
        <v>24</v>
      </c>
      <c r="F136" s="225">
        <v>0.35</v>
      </c>
      <c r="G136" s="224"/>
      <c r="H136" s="224"/>
      <c r="I136" s="224"/>
      <c r="J136" s="224"/>
      <c r="K136" s="224"/>
      <c r="L136" s="225">
        <v>0.35</v>
      </c>
      <c r="M136" s="225">
        <v>0.6</v>
      </c>
      <c r="N136" s="224"/>
      <c r="O136" s="224"/>
      <c r="P136" s="224"/>
      <c r="Q136" s="224"/>
      <c r="R136" s="224"/>
      <c r="S136" s="225">
        <v>0.6</v>
      </c>
      <c r="T136" s="225">
        <v>3.68</v>
      </c>
      <c r="U136" s="225">
        <v>1.9</v>
      </c>
      <c r="V136" s="225">
        <v>5.34</v>
      </c>
      <c r="W136" s="224"/>
      <c r="X136" s="224"/>
      <c r="Y136" s="224"/>
      <c r="Z136" s="224"/>
      <c r="AA136" s="225">
        <v>10.92</v>
      </c>
      <c r="AB136" s="224"/>
      <c r="AC136" s="225">
        <v>0.4</v>
      </c>
      <c r="AD136" s="224"/>
      <c r="AE136" s="224"/>
      <c r="AF136" s="225">
        <v>0</v>
      </c>
      <c r="AG136" s="224"/>
      <c r="AH136" s="225">
        <v>0.4</v>
      </c>
      <c r="AI136" s="224"/>
      <c r="AJ136" s="225">
        <v>0.3</v>
      </c>
      <c r="AK136" s="225">
        <v>2.58</v>
      </c>
      <c r="AL136" s="224"/>
      <c r="AM136" s="224"/>
      <c r="AN136" s="224"/>
      <c r="AO136" s="224"/>
      <c r="AP136" s="225">
        <v>2.88</v>
      </c>
      <c r="AQ136" s="224"/>
      <c r="AR136" s="224"/>
      <c r="AS136" s="224"/>
      <c r="AT136" s="225">
        <v>0.4</v>
      </c>
      <c r="AU136" s="224"/>
      <c r="AV136" s="225">
        <v>0.4</v>
      </c>
      <c r="AW136" s="224"/>
      <c r="AX136" s="224"/>
      <c r="AY136" s="224"/>
      <c r="AZ136" s="224"/>
      <c r="BA136" s="225">
        <v>0.1</v>
      </c>
      <c r="BB136" s="225">
        <v>0.1</v>
      </c>
      <c r="BC136" s="224"/>
      <c r="BD136" s="224"/>
      <c r="BE136" s="224"/>
      <c r="BF136" s="224"/>
      <c r="BG136" s="224"/>
      <c r="BH136" s="224"/>
      <c r="BI136" s="224"/>
      <c r="BJ136" s="225">
        <v>15.65</v>
      </c>
      <c r="BK136" s="224"/>
      <c r="BL136" s="224"/>
      <c r="BM136" s="224"/>
      <c r="BN136" s="224"/>
      <c r="BO136" s="224"/>
      <c r="BP136" s="224"/>
      <c r="BQ136" s="224"/>
      <c r="BR136" s="224"/>
      <c r="BS136" s="224"/>
      <c r="BT136" s="224"/>
      <c r="BU136" s="224"/>
      <c r="BV136" s="224"/>
      <c r="BW136" s="224"/>
      <c r="BX136" s="224"/>
      <c r="BY136" s="224"/>
      <c r="BZ136" s="224"/>
      <c r="CA136" s="224"/>
      <c r="CB136" s="224"/>
      <c r="CC136" s="224"/>
      <c r="CD136" s="226">
        <v>15.65</v>
      </c>
    </row>
    <row r="137" spans="1:82" x14ac:dyDescent="0.3">
      <c r="A137" s="221" t="str">
        <f t="shared" si="3"/>
        <v>ADDResearch InfrastructureNational Optical Astronomy Observatory (NOAO)Total</v>
      </c>
      <c r="B137" s="6" t="s">
        <v>81</v>
      </c>
      <c r="C137" s="6" t="s">
        <v>179</v>
      </c>
      <c r="D137" s="224" t="s">
        <v>208</v>
      </c>
      <c r="E137" s="6" t="s">
        <v>24</v>
      </c>
      <c r="F137" s="224"/>
      <c r="G137" s="224"/>
      <c r="H137" s="224"/>
      <c r="I137" s="224"/>
      <c r="J137" s="224"/>
      <c r="K137" s="224"/>
      <c r="L137" s="224"/>
      <c r="M137" s="224"/>
      <c r="N137" s="224"/>
      <c r="O137" s="224"/>
      <c r="P137" s="224"/>
      <c r="Q137" s="224"/>
      <c r="R137" s="224"/>
      <c r="S137" s="224"/>
      <c r="T137" s="224"/>
      <c r="U137" s="224"/>
      <c r="V137" s="224"/>
      <c r="W137" s="224"/>
      <c r="X137" s="224"/>
      <c r="Y137" s="224"/>
      <c r="Z137" s="224"/>
      <c r="AA137" s="224"/>
      <c r="AB137" s="224"/>
      <c r="AC137" s="224"/>
      <c r="AD137" s="224"/>
      <c r="AE137" s="224"/>
      <c r="AF137" s="224"/>
      <c r="AG137" s="224"/>
      <c r="AH137" s="224"/>
      <c r="AI137" s="225">
        <v>0</v>
      </c>
      <c r="AJ137" s="224"/>
      <c r="AK137" s="224"/>
      <c r="AL137" s="224"/>
      <c r="AM137" s="224"/>
      <c r="AN137" s="224"/>
      <c r="AO137" s="224"/>
      <c r="AP137" s="225">
        <v>0</v>
      </c>
      <c r="AQ137" s="224"/>
      <c r="AR137" s="224"/>
      <c r="AS137" s="224"/>
      <c r="AT137" s="224"/>
      <c r="AU137" s="224"/>
      <c r="AV137" s="224"/>
      <c r="AW137" s="224"/>
      <c r="AX137" s="224"/>
      <c r="AY137" s="224"/>
      <c r="AZ137" s="224"/>
      <c r="BA137" s="224"/>
      <c r="BB137" s="224"/>
      <c r="BC137" s="224"/>
      <c r="BD137" s="224"/>
      <c r="BE137" s="224"/>
      <c r="BF137" s="224"/>
      <c r="BG137" s="224"/>
      <c r="BH137" s="224"/>
      <c r="BI137" s="224"/>
      <c r="BJ137" s="225">
        <v>0</v>
      </c>
      <c r="BK137" s="224"/>
      <c r="BL137" s="224"/>
      <c r="BM137" s="224"/>
      <c r="BN137" s="224"/>
      <c r="BO137" s="224"/>
      <c r="BP137" s="224"/>
      <c r="BQ137" s="224"/>
      <c r="BR137" s="224"/>
      <c r="BS137" s="224"/>
      <c r="BT137" s="224"/>
      <c r="BU137" s="224"/>
      <c r="BV137" s="224"/>
      <c r="BW137" s="224"/>
      <c r="BX137" s="224"/>
      <c r="BY137" s="224"/>
      <c r="BZ137" s="224"/>
      <c r="CA137" s="224"/>
      <c r="CB137" s="224"/>
      <c r="CC137" s="224"/>
      <c r="CD137" s="226">
        <v>0</v>
      </c>
    </row>
    <row r="138" spans="1:82" x14ac:dyDescent="0.3">
      <c r="A138" s="221" t="str">
        <f t="shared" ref="A138:A201" si="4">CONCATENATE(B138,C138,D138,E138)</f>
        <v>ADDResearch InfrastructureNational Radio Astronomy Observatory (NRAO)Total</v>
      </c>
      <c r="B138" s="6" t="s">
        <v>81</v>
      </c>
      <c r="C138" s="6" t="s">
        <v>179</v>
      </c>
      <c r="D138" s="224" t="s">
        <v>209</v>
      </c>
      <c r="E138" s="6" t="s">
        <v>24</v>
      </c>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5">
        <v>45.885387000000001</v>
      </c>
      <c r="AJ138" s="224"/>
      <c r="AK138" s="224"/>
      <c r="AL138" s="224"/>
      <c r="AM138" s="225">
        <v>6.2</v>
      </c>
      <c r="AN138" s="224"/>
      <c r="AO138" s="224"/>
      <c r="AP138" s="225">
        <v>52.085386999999997</v>
      </c>
      <c r="AQ138" s="224"/>
      <c r="AR138" s="224"/>
      <c r="AS138" s="224"/>
      <c r="AT138" s="224"/>
      <c r="AU138" s="224"/>
      <c r="AV138" s="224"/>
      <c r="AW138" s="224"/>
      <c r="AX138" s="224"/>
      <c r="AY138" s="224"/>
      <c r="AZ138" s="224"/>
      <c r="BA138" s="224"/>
      <c r="BB138" s="224"/>
      <c r="BC138" s="224"/>
      <c r="BD138" s="224"/>
      <c r="BE138" s="224"/>
      <c r="BF138" s="224"/>
      <c r="BG138" s="224"/>
      <c r="BH138" s="224"/>
      <c r="BI138" s="224"/>
      <c r="BJ138" s="225">
        <v>52.085386999999997</v>
      </c>
      <c r="BK138" s="224"/>
      <c r="BL138" s="224"/>
      <c r="BM138" s="224"/>
      <c r="BN138" s="224"/>
      <c r="BO138" s="224"/>
      <c r="BP138" s="224"/>
      <c r="BQ138" s="224"/>
      <c r="BR138" s="224"/>
      <c r="BS138" s="224"/>
      <c r="BT138" s="224"/>
      <c r="BU138" s="224"/>
      <c r="BV138" s="224"/>
      <c r="BW138" s="224"/>
      <c r="BX138" s="224"/>
      <c r="BY138" s="224"/>
      <c r="BZ138" s="224"/>
      <c r="CA138" s="224"/>
      <c r="CB138" s="224"/>
      <c r="CC138" s="224"/>
      <c r="CD138" s="226">
        <v>52.085386999999997</v>
      </c>
    </row>
    <row r="139" spans="1:82" x14ac:dyDescent="0.3">
      <c r="A139" s="221" t="str">
        <f t="shared" si="4"/>
        <v>ADDResearch InfrastructureNational Solar Observatory (NSO)Total</v>
      </c>
      <c r="B139" s="6" t="s">
        <v>81</v>
      </c>
      <c r="C139" s="6" t="s">
        <v>179</v>
      </c>
      <c r="D139" s="224" t="s">
        <v>210</v>
      </c>
      <c r="E139" s="6" t="s">
        <v>24</v>
      </c>
      <c r="F139" s="224"/>
      <c r="G139" s="224"/>
      <c r="H139" s="224"/>
      <c r="I139" s="224"/>
      <c r="J139" s="224"/>
      <c r="K139" s="224"/>
      <c r="L139" s="224"/>
      <c r="M139" s="224"/>
      <c r="N139" s="224"/>
      <c r="O139" s="224"/>
      <c r="P139" s="224"/>
      <c r="Q139" s="224"/>
      <c r="R139" s="224"/>
      <c r="S139" s="224"/>
      <c r="T139" s="224"/>
      <c r="U139" s="224"/>
      <c r="V139" s="224"/>
      <c r="W139" s="224"/>
      <c r="X139" s="224"/>
      <c r="Y139" s="224"/>
      <c r="Z139" s="224"/>
      <c r="AA139" s="224"/>
      <c r="AB139" s="224"/>
      <c r="AC139" s="224"/>
      <c r="AD139" s="224"/>
      <c r="AE139" s="224"/>
      <c r="AF139" s="224"/>
      <c r="AG139" s="224"/>
      <c r="AH139" s="224"/>
      <c r="AI139" s="225">
        <v>6.9649900000000002</v>
      </c>
      <c r="AJ139" s="224"/>
      <c r="AK139" s="224"/>
      <c r="AL139" s="224"/>
      <c r="AM139" s="224"/>
      <c r="AN139" s="224"/>
      <c r="AO139" s="224"/>
      <c r="AP139" s="225">
        <v>6.9649900000000002</v>
      </c>
      <c r="AQ139" s="224"/>
      <c r="AR139" s="224"/>
      <c r="AS139" s="224"/>
      <c r="AT139" s="224"/>
      <c r="AU139" s="224"/>
      <c r="AV139" s="224"/>
      <c r="AW139" s="224"/>
      <c r="AX139" s="224"/>
      <c r="AY139" s="224"/>
      <c r="AZ139" s="224"/>
      <c r="BA139" s="224"/>
      <c r="BB139" s="224"/>
      <c r="BC139" s="224"/>
      <c r="BD139" s="224"/>
      <c r="BE139" s="224"/>
      <c r="BF139" s="224"/>
      <c r="BG139" s="224"/>
      <c r="BH139" s="224"/>
      <c r="BI139" s="224"/>
      <c r="BJ139" s="225">
        <v>6.9649900000000002</v>
      </c>
      <c r="BK139" s="224"/>
      <c r="BL139" s="224"/>
      <c r="BM139" s="224"/>
      <c r="BN139" s="224"/>
      <c r="BO139" s="224"/>
      <c r="BP139" s="224"/>
      <c r="BQ139" s="224"/>
      <c r="BR139" s="224"/>
      <c r="BS139" s="224"/>
      <c r="BT139" s="224"/>
      <c r="BU139" s="224"/>
      <c r="BV139" s="224"/>
      <c r="BW139" s="224"/>
      <c r="BX139" s="224"/>
      <c r="BY139" s="224"/>
      <c r="BZ139" s="224"/>
      <c r="CA139" s="224"/>
      <c r="CB139" s="224"/>
      <c r="CC139" s="224"/>
      <c r="CD139" s="226">
        <v>6.9649900000000002</v>
      </c>
    </row>
    <row r="140" spans="1:82" x14ac:dyDescent="0.3">
      <c r="A140" s="221" t="str">
        <f t="shared" si="4"/>
        <v>ADDResearch InfrastructureNational Superconducting Cyclotron Laboratory (NSCL)(MSU Cyclotron)Total</v>
      </c>
      <c r="B140" s="6" t="s">
        <v>81</v>
      </c>
      <c r="C140" s="6" t="s">
        <v>179</v>
      </c>
      <c r="D140" s="224" t="s">
        <v>211</v>
      </c>
      <c r="E140" s="6" t="s">
        <v>24</v>
      </c>
      <c r="F140" s="224"/>
      <c r="G140" s="224"/>
      <c r="H140" s="224"/>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224"/>
      <c r="AE140" s="224"/>
      <c r="AF140" s="224"/>
      <c r="AG140" s="224"/>
      <c r="AH140" s="224"/>
      <c r="AI140" s="224"/>
      <c r="AJ140" s="224"/>
      <c r="AK140" s="224"/>
      <c r="AL140" s="224"/>
      <c r="AM140" s="224"/>
      <c r="AN140" s="225">
        <v>0</v>
      </c>
      <c r="AO140" s="224"/>
      <c r="AP140" s="225">
        <v>0</v>
      </c>
      <c r="AQ140" s="224"/>
      <c r="AR140" s="224"/>
      <c r="AS140" s="224"/>
      <c r="AT140" s="224"/>
      <c r="AU140" s="224"/>
      <c r="AV140" s="224"/>
      <c r="AW140" s="224"/>
      <c r="AX140" s="224"/>
      <c r="AY140" s="224"/>
      <c r="AZ140" s="224"/>
      <c r="BA140" s="224"/>
      <c r="BB140" s="224"/>
      <c r="BC140" s="224"/>
      <c r="BD140" s="224"/>
      <c r="BE140" s="224"/>
      <c r="BF140" s="224"/>
      <c r="BG140" s="224"/>
      <c r="BH140" s="224"/>
      <c r="BI140" s="224"/>
      <c r="BJ140" s="225">
        <v>0</v>
      </c>
      <c r="BK140" s="224"/>
      <c r="BL140" s="224"/>
      <c r="BM140" s="224"/>
      <c r="BN140" s="224"/>
      <c r="BO140" s="224"/>
      <c r="BP140" s="224"/>
      <c r="BQ140" s="224"/>
      <c r="BR140" s="224"/>
      <c r="BS140" s="224"/>
      <c r="BT140" s="224"/>
      <c r="BU140" s="224"/>
      <c r="BV140" s="224"/>
      <c r="BW140" s="224"/>
      <c r="BX140" s="224"/>
      <c r="BY140" s="224"/>
      <c r="BZ140" s="224"/>
      <c r="CA140" s="224"/>
      <c r="CB140" s="224"/>
      <c r="CC140" s="224"/>
      <c r="CD140" s="226">
        <v>0</v>
      </c>
    </row>
    <row r="141" spans="1:82" x14ac:dyDescent="0.3">
      <c r="A141" s="221" t="str">
        <f t="shared" si="4"/>
        <v>ADDResearch InfrastructureNatural Hazards Engineering Research Infrastructure (NHERI)Total</v>
      </c>
      <c r="B141" s="6" t="s">
        <v>81</v>
      </c>
      <c r="C141" s="6" t="s">
        <v>179</v>
      </c>
      <c r="D141" s="224" t="s">
        <v>212</v>
      </c>
      <c r="E141" s="6" t="s">
        <v>24</v>
      </c>
      <c r="F141" s="224"/>
      <c r="G141" s="224"/>
      <c r="H141" s="224"/>
      <c r="I141" s="224"/>
      <c r="J141" s="224"/>
      <c r="K141" s="224"/>
      <c r="L141" s="224"/>
      <c r="M141" s="224"/>
      <c r="N141" s="224"/>
      <c r="O141" s="224"/>
      <c r="P141" s="224"/>
      <c r="Q141" s="224"/>
      <c r="R141" s="224"/>
      <c r="S141" s="224"/>
      <c r="T141" s="224"/>
      <c r="U141" s="225">
        <v>14.673062</v>
      </c>
      <c r="V141" s="224"/>
      <c r="W141" s="224"/>
      <c r="X141" s="224"/>
      <c r="Y141" s="224"/>
      <c r="Z141" s="224"/>
      <c r="AA141" s="225">
        <v>14.673062</v>
      </c>
      <c r="AB141" s="224"/>
      <c r="AC141" s="224"/>
      <c r="AD141" s="224"/>
      <c r="AE141" s="224"/>
      <c r="AF141" s="224"/>
      <c r="AG141" s="224"/>
      <c r="AH141" s="224"/>
      <c r="AI141" s="224"/>
      <c r="AJ141" s="224"/>
      <c r="AK141" s="224"/>
      <c r="AL141" s="224"/>
      <c r="AM141" s="224"/>
      <c r="AN141" s="224"/>
      <c r="AO141" s="224"/>
      <c r="AP141" s="224"/>
      <c r="AQ141" s="224"/>
      <c r="AR141" s="224"/>
      <c r="AS141" s="224"/>
      <c r="AT141" s="224"/>
      <c r="AU141" s="224"/>
      <c r="AV141" s="224"/>
      <c r="AW141" s="224"/>
      <c r="AX141" s="224"/>
      <c r="AY141" s="224"/>
      <c r="AZ141" s="224"/>
      <c r="BA141" s="224"/>
      <c r="BB141" s="224"/>
      <c r="BC141" s="224"/>
      <c r="BD141" s="224"/>
      <c r="BE141" s="224"/>
      <c r="BF141" s="224"/>
      <c r="BG141" s="224"/>
      <c r="BH141" s="224"/>
      <c r="BI141" s="224"/>
      <c r="BJ141" s="225">
        <v>14.673062</v>
      </c>
      <c r="BK141" s="224"/>
      <c r="BL141" s="224"/>
      <c r="BM141" s="224"/>
      <c r="BN141" s="224"/>
      <c r="BO141" s="224"/>
      <c r="BP141" s="224"/>
      <c r="BQ141" s="224"/>
      <c r="BR141" s="224"/>
      <c r="BS141" s="224"/>
      <c r="BT141" s="224"/>
      <c r="BU141" s="224"/>
      <c r="BV141" s="224"/>
      <c r="BW141" s="224"/>
      <c r="BX141" s="224"/>
      <c r="BY141" s="224"/>
      <c r="BZ141" s="224"/>
      <c r="CA141" s="224"/>
      <c r="CB141" s="224"/>
      <c r="CC141" s="224"/>
      <c r="CD141" s="226">
        <v>14.673062</v>
      </c>
    </row>
    <row r="142" spans="1:82" x14ac:dyDescent="0.3">
      <c r="A142" s="221" t="str">
        <f t="shared" si="4"/>
        <v>ADDResearch InfrastructureNetworking and Computational Resources Infrastructure and ServicesTotal</v>
      </c>
      <c r="B142" s="6" t="s">
        <v>81</v>
      </c>
      <c r="C142" s="6" t="s">
        <v>179</v>
      </c>
      <c r="D142" s="224" t="s">
        <v>213</v>
      </c>
      <c r="E142" s="6" t="s">
        <v>24</v>
      </c>
      <c r="F142" s="224"/>
      <c r="G142" s="224"/>
      <c r="H142" s="224"/>
      <c r="I142" s="224"/>
      <c r="J142" s="224"/>
      <c r="K142" s="224"/>
      <c r="L142" s="224"/>
      <c r="M142" s="224"/>
      <c r="N142" s="224"/>
      <c r="O142" s="224"/>
      <c r="P142" s="224"/>
      <c r="Q142" s="225">
        <v>134.54769899999999</v>
      </c>
      <c r="R142" s="224"/>
      <c r="S142" s="225">
        <v>134.54769899999999</v>
      </c>
      <c r="T142" s="224"/>
      <c r="U142" s="224"/>
      <c r="V142" s="224"/>
      <c r="W142" s="224"/>
      <c r="X142" s="224"/>
      <c r="Y142" s="224"/>
      <c r="Z142" s="224"/>
      <c r="AA142" s="224"/>
      <c r="AB142" s="224"/>
      <c r="AC142" s="224"/>
      <c r="AD142" s="224"/>
      <c r="AE142" s="224"/>
      <c r="AF142" s="224"/>
      <c r="AG142" s="224"/>
      <c r="AH142" s="224"/>
      <c r="AI142" s="224"/>
      <c r="AJ142" s="224"/>
      <c r="AK142" s="224"/>
      <c r="AL142" s="224"/>
      <c r="AM142" s="224"/>
      <c r="AN142" s="224"/>
      <c r="AO142" s="224"/>
      <c r="AP142" s="224"/>
      <c r="AQ142" s="224"/>
      <c r="AR142" s="224"/>
      <c r="AS142" s="224"/>
      <c r="AT142" s="224"/>
      <c r="AU142" s="224"/>
      <c r="AV142" s="224"/>
      <c r="AW142" s="224"/>
      <c r="AX142" s="224"/>
      <c r="AY142" s="224"/>
      <c r="AZ142" s="224"/>
      <c r="BA142" s="224"/>
      <c r="BB142" s="224"/>
      <c r="BC142" s="224"/>
      <c r="BD142" s="224"/>
      <c r="BE142" s="224"/>
      <c r="BF142" s="224"/>
      <c r="BG142" s="224"/>
      <c r="BH142" s="224"/>
      <c r="BI142" s="224"/>
      <c r="BJ142" s="225">
        <v>134.54769899999999</v>
      </c>
      <c r="BK142" s="224"/>
      <c r="BL142" s="224"/>
      <c r="BM142" s="224"/>
      <c r="BN142" s="224"/>
      <c r="BO142" s="224"/>
      <c r="BP142" s="224"/>
      <c r="BQ142" s="224"/>
      <c r="BR142" s="224"/>
      <c r="BS142" s="224"/>
      <c r="BT142" s="224"/>
      <c r="BU142" s="224"/>
      <c r="BV142" s="224"/>
      <c r="BW142" s="224"/>
      <c r="BX142" s="224"/>
      <c r="BY142" s="224"/>
      <c r="BZ142" s="224"/>
      <c r="CA142" s="224"/>
      <c r="CB142" s="224"/>
      <c r="CC142" s="224"/>
      <c r="CD142" s="226">
        <v>134.54769899999999</v>
      </c>
    </row>
    <row r="143" spans="1:82" x14ac:dyDescent="0.3">
      <c r="A143" s="221" t="str">
        <f t="shared" si="4"/>
        <v>ADDResearch InfrastructureNSF National Optical-infrared Astronomy Research LaboratoryTotal</v>
      </c>
      <c r="B143" s="6" t="s">
        <v>81</v>
      </c>
      <c r="C143" s="6" t="s">
        <v>179</v>
      </c>
      <c r="D143" s="224" t="s">
        <v>214</v>
      </c>
      <c r="E143" s="6" t="s">
        <v>24</v>
      </c>
      <c r="F143" s="224"/>
      <c r="G143" s="224"/>
      <c r="H143" s="224"/>
      <c r="I143" s="224"/>
      <c r="J143" s="224"/>
      <c r="K143" s="224"/>
      <c r="L143" s="224"/>
      <c r="M143" s="224"/>
      <c r="N143" s="224"/>
      <c r="O143" s="224"/>
      <c r="P143" s="224"/>
      <c r="Q143" s="224"/>
      <c r="R143" s="224"/>
      <c r="S143" s="224"/>
      <c r="T143" s="224"/>
      <c r="U143" s="224"/>
      <c r="V143" s="224"/>
      <c r="W143" s="224"/>
      <c r="X143" s="224"/>
      <c r="Y143" s="224"/>
      <c r="Z143" s="224"/>
      <c r="AA143" s="224"/>
      <c r="AB143" s="224"/>
      <c r="AC143" s="224"/>
      <c r="AD143" s="224"/>
      <c r="AE143" s="224"/>
      <c r="AF143" s="224"/>
      <c r="AG143" s="224"/>
      <c r="AH143" s="224"/>
      <c r="AI143" s="225">
        <v>25.804366000000002</v>
      </c>
      <c r="AJ143" s="224"/>
      <c r="AK143" s="224"/>
      <c r="AL143" s="224"/>
      <c r="AM143" s="224"/>
      <c r="AN143" s="224"/>
      <c r="AO143" s="224"/>
      <c r="AP143" s="225">
        <v>25.804366000000002</v>
      </c>
      <c r="AQ143" s="224"/>
      <c r="AR143" s="224"/>
      <c r="AS143" s="224"/>
      <c r="AT143" s="224"/>
      <c r="AU143" s="224"/>
      <c r="AV143" s="224"/>
      <c r="AW143" s="224"/>
      <c r="AX143" s="224"/>
      <c r="AY143" s="224"/>
      <c r="AZ143" s="224"/>
      <c r="BA143" s="224"/>
      <c r="BB143" s="224"/>
      <c r="BC143" s="224"/>
      <c r="BD143" s="224"/>
      <c r="BE143" s="224"/>
      <c r="BF143" s="224"/>
      <c r="BG143" s="224"/>
      <c r="BH143" s="224"/>
      <c r="BI143" s="224"/>
      <c r="BJ143" s="225">
        <v>25.804366000000002</v>
      </c>
      <c r="BK143" s="224"/>
      <c r="BL143" s="224"/>
      <c r="BM143" s="224"/>
      <c r="BN143" s="224"/>
      <c r="BO143" s="224"/>
      <c r="BP143" s="224"/>
      <c r="BQ143" s="224"/>
      <c r="BR143" s="224"/>
      <c r="BS143" s="224"/>
      <c r="BT143" s="224"/>
      <c r="BU143" s="224"/>
      <c r="BV143" s="224"/>
      <c r="BW143" s="224"/>
      <c r="BX143" s="224"/>
      <c r="BY143" s="224"/>
      <c r="BZ143" s="224"/>
      <c r="CA143" s="224"/>
      <c r="CB143" s="224"/>
      <c r="CC143" s="224"/>
      <c r="CD143" s="226">
        <v>25.804366000000002</v>
      </c>
    </row>
    <row r="144" spans="1:82" x14ac:dyDescent="0.3">
      <c r="A144" s="221" t="str">
        <f t="shared" si="4"/>
        <v>ADDResearch InfrastructureOcean Observatories Initiative (OOI)Total</v>
      </c>
      <c r="B144" s="6" t="s">
        <v>81</v>
      </c>
      <c r="C144" s="6" t="s">
        <v>179</v>
      </c>
      <c r="D144" s="224" t="s">
        <v>215</v>
      </c>
      <c r="E144" s="6" t="s">
        <v>24</v>
      </c>
      <c r="F144" s="224"/>
      <c r="G144" s="224"/>
      <c r="H144" s="224"/>
      <c r="I144" s="224"/>
      <c r="J144" s="224"/>
      <c r="K144" s="224"/>
      <c r="L144" s="224"/>
      <c r="M144" s="224"/>
      <c r="N144" s="224"/>
      <c r="O144" s="224"/>
      <c r="P144" s="224"/>
      <c r="Q144" s="224"/>
      <c r="R144" s="224"/>
      <c r="S144" s="224"/>
      <c r="T144" s="224"/>
      <c r="U144" s="224"/>
      <c r="V144" s="224"/>
      <c r="W144" s="224"/>
      <c r="X144" s="224"/>
      <c r="Y144" s="224"/>
      <c r="Z144" s="224"/>
      <c r="AA144" s="224"/>
      <c r="AB144" s="224"/>
      <c r="AC144" s="224"/>
      <c r="AD144" s="225">
        <v>45.134991999999997</v>
      </c>
      <c r="AE144" s="224"/>
      <c r="AF144" s="225">
        <v>0</v>
      </c>
      <c r="AG144" s="224"/>
      <c r="AH144" s="225">
        <v>45.134991999999997</v>
      </c>
      <c r="AI144" s="224"/>
      <c r="AJ144" s="224"/>
      <c r="AK144" s="224"/>
      <c r="AL144" s="224"/>
      <c r="AM144" s="224"/>
      <c r="AN144" s="224"/>
      <c r="AO144" s="224"/>
      <c r="AP144" s="224"/>
      <c r="AQ144" s="224"/>
      <c r="AR144" s="224"/>
      <c r="AS144" s="224"/>
      <c r="AT144" s="224"/>
      <c r="AU144" s="224"/>
      <c r="AV144" s="224"/>
      <c r="AW144" s="224"/>
      <c r="AX144" s="224"/>
      <c r="AY144" s="224"/>
      <c r="AZ144" s="224"/>
      <c r="BA144" s="224"/>
      <c r="BB144" s="224"/>
      <c r="BC144" s="224"/>
      <c r="BD144" s="224"/>
      <c r="BE144" s="224"/>
      <c r="BF144" s="224"/>
      <c r="BG144" s="224"/>
      <c r="BH144" s="224"/>
      <c r="BI144" s="224"/>
      <c r="BJ144" s="225">
        <v>45.134991999999997</v>
      </c>
      <c r="BK144" s="224"/>
      <c r="BL144" s="224"/>
      <c r="BM144" s="224"/>
      <c r="BN144" s="224"/>
      <c r="BO144" s="224"/>
      <c r="BP144" s="224"/>
      <c r="BQ144" s="224"/>
      <c r="BR144" s="224"/>
      <c r="BS144" s="224"/>
      <c r="BT144" s="224"/>
      <c r="BU144" s="224"/>
      <c r="BV144" s="224"/>
      <c r="BW144" s="224"/>
      <c r="BX144" s="224"/>
      <c r="BY144" s="224"/>
      <c r="BZ144" s="224"/>
      <c r="CA144" s="224"/>
      <c r="CB144" s="224"/>
      <c r="CC144" s="224"/>
      <c r="CD144" s="226">
        <v>45.134991999999997</v>
      </c>
    </row>
    <row r="145" spans="1:82" x14ac:dyDescent="0.3">
      <c r="A145" s="221" t="str">
        <f t="shared" si="4"/>
        <v>ADDResearch InfrastructureOther MPS FacilitiesTotal</v>
      </c>
      <c r="B145" s="6" t="s">
        <v>81</v>
      </c>
      <c r="C145" s="6" t="s">
        <v>179</v>
      </c>
      <c r="D145" s="224" t="s">
        <v>216</v>
      </c>
      <c r="E145" s="6" t="s">
        <v>24</v>
      </c>
      <c r="F145" s="224"/>
      <c r="G145" s="224"/>
      <c r="H145" s="224"/>
      <c r="I145" s="224"/>
      <c r="J145" s="224"/>
      <c r="K145" s="224"/>
      <c r="L145" s="224"/>
      <c r="M145" s="224"/>
      <c r="N145" s="224"/>
      <c r="O145" s="224"/>
      <c r="P145" s="224"/>
      <c r="Q145" s="224"/>
      <c r="R145" s="224"/>
      <c r="S145" s="224"/>
      <c r="T145" s="224"/>
      <c r="U145" s="224"/>
      <c r="V145" s="224"/>
      <c r="W145" s="224"/>
      <c r="X145" s="224"/>
      <c r="Y145" s="224"/>
      <c r="Z145" s="224"/>
      <c r="AA145" s="224"/>
      <c r="AB145" s="224"/>
      <c r="AC145" s="224"/>
      <c r="AD145" s="224"/>
      <c r="AE145" s="224"/>
      <c r="AF145" s="224"/>
      <c r="AG145" s="224"/>
      <c r="AH145" s="224"/>
      <c r="AI145" s="225">
        <v>0</v>
      </c>
      <c r="AJ145" s="224"/>
      <c r="AK145" s="225">
        <v>3</v>
      </c>
      <c r="AL145" s="224"/>
      <c r="AM145" s="225">
        <v>0</v>
      </c>
      <c r="AN145" s="224"/>
      <c r="AO145" s="224"/>
      <c r="AP145" s="225">
        <v>3</v>
      </c>
      <c r="AQ145" s="224"/>
      <c r="AR145" s="224"/>
      <c r="AS145" s="224"/>
      <c r="AT145" s="224"/>
      <c r="AU145" s="224"/>
      <c r="AV145" s="224"/>
      <c r="AW145" s="224"/>
      <c r="AX145" s="224"/>
      <c r="AY145" s="224"/>
      <c r="AZ145" s="224"/>
      <c r="BA145" s="224"/>
      <c r="BB145" s="224"/>
      <c r="BC145" s="224"/>
      <c r="BD145" s="224"/>
      <c r="BE145" s="224"/>
      <c r="BF145" s="224"/>
      <c r="BG145" s="224"/>
      <c r="BH145" s="224"/>
      <c r="BI145" s="224"/>
      <c r="BJ145" s="225">
        <v>3</v>
      </c>
      <c r="BK145" s="224"/>
      <c r="BL145" s="224"/>
      <c r="BM145" s="224"/>
      <c r="BN145" s="224"/>
      <c r="BO145" s="224"/>
      <c r="BP145" s="224"/>
      <c r="BQ145" s="224"/>
      <c r="BR145" s="224"/>
      <c r="BS145" s="224"/>
      <c r="BT145" s="224"/>
      <c r="BU145" s="224"/>
      <c r="BV145" s="224"/>
      <c r="BW145" s="224"/>
      <c r="BX145" s="224"/>
      <c r="BY145" s="224"/>
      <c r="BZ145" s="224"/>
      <c r="CA145" s="224"/>
      <c r="CB145" s="224"/>
      <c r="CC145" s="224"/>
      <c r="CD145" s="226">
        <v>3</v>
      </c>
    </row>
    <row r="146" spans="1:82" x14ac:dyDescent="0.3">
      <c r="A146" s="221" t="str">
        <f t="shared" si="4"/>
        <v>ADDResearch InfrastructurePolar Environment, Health, and Safety (PEHS)Total</v>
      </c>
      <c r="B146" s="6" t="s">
        <v>81</v>
      </c>
      <c r="C146" s="6" t="s">
        <v>179</v>
      </c>
      <c r="D146" s="224" t="s">
        <v>217</v>
      </c>
      <c r="E146" s="6" t="s">
        <v>24</v>
      </c>
      <c r="F146" s="224"/>
      <c r="G146" s="224"/>
      <c r="H146" s="224"/>
      <c r="I146" s="224"/>
      <c r="J146" s="224"/>
      <c r="K146" s="224"/>
      <c r="L146" s="224"/>
      <c r="M146" s="224"/>
      <c r="N146" s="224"/>
      <c r="O146" s="224"/>
      <c r="P146" s="224"/>
      <c r="Q146" s="224"/>
      <c r="R146" s="224"/>
      <c r="S146" s="224"/>
      <c r="T146" s="224"/>
      <c r="U146" s="224"/>
      <c r="V146" s="224"/>
      <c r="W146" s="224"/>
      <c r="X146" s="224"/>
      <c r="Y146" s="224"/>
      <c r="Z146" s="224"/>
      <c r="AA146" s="224"/>
      <c r="AB146" s="224"/>
      <c r="AC146" s="224"/>
      <c r="AD146" s="224"/>
      <c r="AE146" s="225">
        <v>8.7616560000000003</v>
      </c>
      <c r="AF146" s="224"/>
      <c r="AG146" s="224"/>
      <c r="AH146" s="225">
        <v>8.7616560000000003</v>
      </c>
      <c r="AI146" s="224"/>
      <c r="AJ146" s="224"/>
      <c r="AK146" s="224"/>
      <c r="AL146" s="224"/>
      <c r="AM146" s="224"/>
      <c r="AN146" s="224"/>
      <c r="AO146" s="224"/>
      <c r="AP146" s="224"/>
      <c r="AQ146" s="224"/>
      <c r="AR146" s="224"/>
      <c r="AS146" s="224"/>
      <c r="AT146" s="224"/>
      <c r="AU146" s="224"/>
      <c r="AV146" s="224"/>
      <c r="AW146" s="224"/>
      <c r="AX146" s="224"/>
      <c r="AY146" s="224"/>
      <c r="AZ146" s="224"/>
      <c r="BA146" s="224"/>
      <c r="BB146" s="224"/>
      <c r="BC146" s="224"/>
      <c r="BD146" s="224"/>
      <c r="BE146" s="224"/>
      <c r="BF146" s="224"/>
      <c r="BG146" s="224"/>
      <c r="BH146" s="224"/>
      <c r="BI146" s="224"/>
      <c r="BJ146" s="225">
        <v>8.7616560000000003</v>
      </c>
      <c r="BK146" s="224"/>
      <c r="BL146" s="224"/>
      <c r="BM146" s="224"/>
      <c r="BN146" s="224"/>
      <c r="BO146" s="224"/>
      <c r="BP146" s="224"/>
      <c r="BQ146" s="224"/>
      <c r="BR146" s="224"/>
      <c r="BS146" s="224"/>
      <c r="BT146" s="224"/>
      <c r="BU146" s="224"/>
      <c r="BV146" s="224"/>
      <c r="BW146" s="224"/>
      <c r="BX146" s="224"/>
      <c r="BY146" s="224"/>
      <c r="BZ146" s="224"/>
      <c r="CA146" s="224"/>
      <c r="CB146" s="224"/>
      <c r="CC146" s="224"/>
      <c r="CD146" s="226">
        <v>8.7616560000000003</v>
      </c>
    </row>
    <row r="147" spans="1:82" x14ac:dyDescent="0.3">
      <c r="A147" s="221" t="str">
        <f t="shared" si="4"/>
        <v>ADDResearch InfrastructureResearch Infrastructure Stewardship OffsetTotal</v>
      </c>
      <c r="B147" s="6" t="s">
        <v>81</v>
      </c>
      <c r="C147" s="6" t="s">
        <v>179</v>
      </c>
      <c r="D147" s="224" t="s">
        <v>218</v>
      </c>
      <c r="E147" s="6" t="s">
        <v>24</v>
      </c>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c r="AN147" s="224"/>
      <c r="AO147" s="224"/>
      <c r="AP147" s="224"/>
      <c r="AQ147" s="224"/>
      <c r="AR147" s="224"/>
      <c r="AS147" s="224"/>
      <c r="AT147" s="224"/>
      <c r="AU147" s="224"/>
      <c r="AV147" s="224"/>
      <c r="AW147" s="224"/>
      <c r="AX147" s="224"/>
      <c r="AY147" s="224"/>
      <c r="AZ147" s="224"/>
      <c r="BA147" s="224"/>
      <c r="BB147" s="224"/>
      <c r="BC147" s="224"/>
      <c r="BD147" s="225">
        <v>-1.744748</v>
      </c>
      <c r="BE147" s="225">
        <v>-1.744748</v>
      </c>
      <c r="BF147" s="224"/>
      <c r="BG147" s="224"/>
      <c r="BH147" s="224"/>
      <c r="BI147" s="224"/>
      <c r="BJ147" s="225">
        <v>-1.744748</v>
      </c>
      <c r="BK147" s="224"/>
      <c r="BL147" s="224"/>
      <c r="BM147" s="224"/>
      <c r="BN147" s="224"/>
      <c r="BO147" s="224"/>
      <c r="BP147" s="224"/>
      <c r="BQ147" s="224"/>
      <c r="BR147" s="224"/>
      <c r="BS147" s="224"/>
      <c r="BT147" s="224"/>
      <c r="BU147" s="224"/>
      <c r="BV147" s="224"/>
      <c r="BW147" s="224"/>
      <c r="BX147" s="224"/>
      <c r="BY147" s="224"/>
      <c r="BZ147" s="224"/>
      <c r="CA147" s="224"/>
      <c r="CB147" s="224"/>
      <c r="CC147" s="224"/>
      <c r="CD147" s="226">
        <v>-1.744748</v>
      </c>
    </row>
    <row r="148" spans="1:82" x14ac:dyDescent="0.3">
      <c r="A148" s="221" t="str">
        <f t="shared" si="4"/>
        <v>ADDResearch InfrastructureResearch ResourcesTotal</v>
      </c>
      <c r="B148" s="6" t="s">
        <v>81</v>
      </c>
      <c r="C148" s="6" t="s">
        <v>179</v>
      </c>
      <c r="D148" s="224" t="s">
        <v>219</v>
      </c>
      <c r="E148" s="6" t="s">
        <v>24</v>
      </c>
      <c r="F148" s="225">
        <v>47.125222999999998</v>
      </c>
      <c r="G148" s="225">
        <v>1.5</v>
      </c>
      <c r="H148" s="224"/>
      <c r="I148" s="225">
        <v>17.365632000000002</v>
      </c>
      <c r="J148" s="225">
        <v>0.32229999999999998</v>
      </c>
      <c r="K148" s="224"/>
      <c r="L148" s="225">
        <v>66.313154999999995</v>
      </c>
      <c r="M148" s="225">
        <v>1.058446</v>
      </c>
      <c r="N148" s="225">
        <v>25.933423999999999</v>
      </c>
      <c r="O148" s="225">
        <v>3</v>
      </c>
      <c r="P148" s="225">
        <v>12.365774999999999</v>
      </c>
      <c r="Q148" s="224"/>
      <c r="R148" s="224"/>
      <c r="S148" s="225">
        <v>42.357644999999998</v>
      </c>
      <c r="T148" s="224"/>
      <c r="U148" s="225">
        <v>0.60633599999999999</v>
      </c>
      <c r="V148" s="224"/>
      <c r="W148" s="224"/>
      <c r="X148" s="225">
        <v>7.5649999999999995E-2</v>
      </c>
      <c r="Y148" s="224"/>
      <c r="Z148" s="224"/>
      <c r="AA148" s="225">
        <v>0.68198599999999998</v>
      </c>
      <c r="AB148" s="225">
        <v>34.288296000000003</v>
      </c>
      <c r="AC148" s="225">
        <v>25.861104999999998</v>
      </c>
      <c r="AD148" s="225">
        <v>13.067831999999999</v>
      </c>
      <c r="AE148" s="225">
        <v>26.866067000000001</v>
      </c>
      <c r="AF148" s="224"/>
      <c r="AG148" s="224"/>
      <c r="AH148" s="225">
        <v>100.08329999999999</v>
      </c>
      <c r="AI148" s="225">
        <v>6.5509870000000001</v>
      </c>
      <c r="AJ148" s="225">
        <v>6.5716150000000004</v>
      </c>
      <c r="AK148" s="225">
        <v>1.6694040000000001</v>
      </c>
      <c r="AL148" s="224"/>
      <c r="AM148" s="225">
        <v>1.004</v>
      </c>
      <c r="AN148" s="225">
        <v>2.9862310000000001</v>
      </c>
      <c r="AO148" s="224"/>
      <c r="AP148" s="225">
        <v>18.782236999999999</v>
      </c>
      <c r="AQ148" s="225">
        <v>4.6095309999999996</v>
      </c>
      <c r="AR148" s="224"/>
      <c r="AS148" s="225">
        <v>0</v>
      </c>
      <c r="AT148" s="225">
        <v>22.306667999999998</v>
      </c>
      <c r="AU148" s="224"/>
      <c r="AV148" s="225">
        <v>26.916198999999999</v>
      </c>
      <c r="AW148" s="225">
        <v>0.1</v>
      </c>
      <c r="AX148" s="224"/>
      <c r="AY148" s="224"/>
      <c r="AZ148" s="225">
        <v>0.1</v>
      </c>
      <c r="BA148" s="224"/>
      <c r="BB148" s="224"/>
      <c r="BC148" s="224"/>
      <c r="BD148" s="224"/>
      <c r="BE148" s="224"/>
      <c r="BF148" s="224"/>
      <c r="BG148" s="224"/>
      <c r="BH148" s="224"/>
      <c r="BI148" s="224"/>
      <c r="BJ148" s="225">
        <v>255.234522</v>
      </c>
      <c r="BK148" s="224"/>
      <c r="BL148" s="224"/>
      <c r="BM148" s="224"/>
      <c r="BN148" s="224"/>
      <c r="BO148" s="224"/>
      <c r="BP148" s="224"/>
      <c r="BQ148" s="224"/>
      <c r="BR148" s="224"/>
      <c r="BS148" s="224"/>
      <c r="BT148" s="224"/>
      <c r="BU148" s="224"/>
      <c r="BV148" s="224"/>
      <c r="BW148" s="224"/>
      <c r="BX148" s="224"/>
      <c r="BY148" s="224"/>
      <c r="BZ148" s="224"/>
      <c r="CA148" s="224"/>
      <c r="CB148" s="224"/>
      <c r="CC148" s="224"/>
      <c r="CD148" s="226">
        <v>255.234522</v>
      </c>
    </row>
    <row r="149" spans="1:82" x14ac:dyDescent="0.3">
      <c r="A149" s="221" t="str">
        <f t="shared" si="4"/>
        <v>ADDResearch InfrastructureScience &amp; Technology Policy Institute (STPI)Total</v>
      </c>
      <c r="B149" s="6" t="s">
        <v>81</v>
      </c>
      <c r="C149" s="6" t="s">
        <v>179</v>
      </c>
      <c r="D149" s="224" t="s">
        <v>220</v>
      </c>
      <c r="E149" s="6" t="s">
        <v>24</v>
      </c>
      <c r="F149" s="224"/>
      <c r="G149" s="224"/>
      <c r="H149" s="224"/>
      <c r="I149" s="224"/>
      <c r="J149" s="224"/>
      <c r="K149" s="224"/>
      <c r="L149" s="224"/>
      <c r="M149" s="224"/>
      <c r="N149" s="224"/>
      <c r="O149" s="224"/>
      <c r="P149" s="224"/>
      <c r="Q149" s="224"/>
      <c r="R149" s="224"/>
      <c r="S149" s="224"/>
      <c r="T149" s="224"/>
      <c r="U149" s="224"/>
      <c r="V149" s="224"/>
      <c r="W149" s="224"/>
      <c r="X149" s="224"/>
      <c r="Y149" s="224"/>
      <c r="Z149" s="224"/>
      <c r="AA149" s="224"/>
      <c r="AB149" s="224"/>
      <c r="AC149" s="224"/>
      <c r="AD149" s="224"/>
      <c r="AE149" s="224"/>
      <c r="AF149" s="224"/>
      <c r="AG149" s="224"/>
      <c r="AH149" s="224"/>
      <c r="AI149" s="224"/>
      <c r="AJ149" s="224"/>
      <c r="AK149" s="224"/>
      <c r="AL149" s="224"/>
      <c r="AM149" s="224"/>
      <c r="AN149" s="224"/>
      <c r="AO149" s="224"/>
      <c r="AP149" s="224"/>
      <c r="AQ149" s="224"/>
      <c r="AR149" s="224"/>
      <c r="AS149" s="224"/>
      <c r="AT149" s="224"/>
      <c r="AU149" s="224"/>
      <c r="AV149" s="224"/>
      <c r="AW149" s="224"/>
      <c r="AX149" s="224"/>
      <c r="AY149" s="224"/>
      <c r="AZ149" s="224"/>
      <c r="BA149" s="224"/>
      <c r="BB149" s="224"/>
      <c r="BC149" s="224"/>
      <c r="BD149" s="225">
        <v>4.9800000000000004</v>
      </c>
      <c r="BE149" s="225">
        <v>4.9800000000000004</v>
      </c>
      <c r="BF149" s="224"/>
      <c r="BG149" s="224"/>
      <c r="BH149" s="224"/>
      <c r="BI149" s="224"/>
      <c r="BJ149" s="225">
        <v>4.9800000000000004</v>
      </c>
      <c r="BK149" s="224"/>
      <c r="BL149" s="224"/>
      <c r="BM149" s="224"/>
      <c r="BN149" s="224"/>
      <c r="BO149" s="224"/>
      <c r="BP149" s="224"/>
      <c r="BQ149" s="224"/>
      <c r="BR149" s="224"/>
      <c r="BS149" s="224"/>
      <c r="BT149" s="224"/>
      <c r="BU149" s="224"/>
      <c r="BV149" s="224"/>
      <c r="BW149" s="224"/>
      <c r="BX149" s="224"/>
      <c r="BY149" s="224"/>
      <c r="BZ149" s="224"/>
      <c r="CA149" s="224"/>
      <c r="CB149" s="224"/>
      <c r="CC149" s="224"/>
      <c r="CD149" s="226">
        <v>4.9800000000000004</v>
      </c>
    </row>
    <row r="150" spans="1:82" x14ac:dyDescent="0.3">
      <c r="A150" s="221" t="str">
        <f t="shared" si="4"/>
        <v>ADDResearch InfrastructureSeismological Facility for the Advancement of GEoscience (SAGE)Total</v>
      </c>
      <c r="B150" s="6" t="s">
        <v>81</v>
      </c>
      <c r="C150" s="6" t="s">
        <v>179</v>
      </c>
      <c r="D150" s="224" t="s">
        <v>221</v>
      </c>
      <c r="E150" s="6" t="s">
        <v>24</v>
      </c>
      <c r="F150" s="224"/>
      <c r="G150" s="224"/>
      <c r="H150" s="224"/>
      <c r="I150" s="224"/>
      <c r="J150" s="224"/>
      <c r="K150" s="224"/>
      <c r="L150" s="224"/>
      <c r="M150" s="224"/>
      <c r="N150" s="224"/>
      <c r="O150" s="224"/>
      <c r="P150" s="224"/>
      <c r="Q150" s="224"/>
      <c r="R150" s="224"/>
      <c r="S150" s="224"/>
      <c r="T150" s="224"/>
      <c r="U150" s="224"/>
      <c r="V150" s="224"/>
      <c r="W150" s="224"/>
      <c r="X150" s="224"/>
      <c r="Y150" s="224"/>
      <c r="Z150" s="224"/>
      <c r="AA150" s="224"/>
      <c r="AB150" s="224"/>
      <c r="AC150" s="225">
        <v>21</v>
      </c>
      <c r="AD150" s="224"/>
      <c r="AE150" s="225">
        <v>0.86864200000000003</v>
      </c>
      <c r="AF150" s="224"/>
      <c r="AG150" s="224"/>
      <c r="AH150" s="225">
        <v>21.868642000000001</v>
      </c>
      <c r="AI150" s="224"/>
      <c r="AJ150" s="224"/>
      <c r="AK150" s="224"/>
      <c r="AL150" s="224"/>
      <c r="AM150" s="224"/>
      <c r="AN150" s="224"/>
      <c r="AO150" s="224"/>
      <c r="AP150" s="224"/>
      <c r="AQ150" s="224"/>
      <c r="AR150" s="224"/>
      <c r="AS150" s="224"/>
      <c r="AT150" s="224"/>
      <c r="AU150" s="224"/>
      <c r="AV150" s="224"/>
      <c r="AW150" s="224"/>
      <c r="AX150" s="224"/>
      <c r="AY150" s="224"/>
      <c r="AZ150" s="224"/>
      <c r="BA150" s="224"/>
      <c r="BB150" s="224"/>
      <c r="BC150" s="224"/>
      <c r="BD150" s="224"/>
      <c r="BE150" s="224"/>
      <c r="BF150" s="224"/>
      <c r="BG150" s="224"/>
      <c r="BH150" s="224"/>
      <c r="BI150" s="224"/>
      <c r="BJ150" s="225">
        <v>21.868642000000001</v>
      </c>
      <c r="BK150" s="224"/>
      <c r="BL150" s="224"/>
      <c r="BM150" s="224"/>
      <c r="BN150" s="224"/>
      <c r="BO150" s="224"/>
      <c r="BP150" s="224"/>
      <c r="BQ150" s="224"/>
      <c r="BR150" s="224"/>
      <c r="BS150" s="224"/>
      <c r="BT150" s="224"/>
      <c r="BU150" s="224"/>
      <c r="BV150" s="224"/>
      <c r="BW150" s="224"/>
      <c r="BX150" s="224"/>
      <c r="BY150" s="224"/>
      <c r="BZ150" s="224"/>
      <c r="CA150" s="224"/>
      <c r="CB150" s="224"/>
      <c r="CC150" s="224"/>
      <c r="CD150" s="226">
        <v>21.868642000000001</v>
      </c>
    </row>
    <row r="151" spans="1:82" x14ac:dyDescent="0.3">
      <c r="A151" s="221" t="str">
        <f t="shared" si="4"/>
        <v>ADDResearch InfrastructureVera C. Rubin ObservatoryTotal</v>
      </c>
      <c r="B151" s="6" t="s">
        <v>81</v>
      </c>
      <c r="C151" s="6" t="s">
        <v>179</v>
      </c>
      <c r="D151" s="224" t="s">
        <v>222</v>
      </c>
      <c r="E151" s="6" t="s">
        <v>24</v>
      </c>
      <c r="F151" s="224"/>
      <c r="G151" s="224"/>
      <c r="H151" s="224"/>
      <c r="I151" s="224"/>
      <c r="J151" s="224"/>
      <c r="K151" s="224"/>
      <c r="L151" s="224"/>
      <c r="M151" s="224"/>
      <c r="N151" s="224"/>
      <c r="O151" s="224"/>
      <c r="P151" s="224"/>
      <c r="Q151" s="224"/>
      <c r="R151" s="224"/>
      <c r="S151" s="224"/>
      <c r="T151" s="224"/>
      <c r="U151" s="224"/>
      <c r="V151" s="224"/>
      <c r="W151" s="224"/>
      <c r="X151" s="224"/>
      <c r="Y151" s="224"/>
      <c r="Z151" s="224"/>
      <c r="AA151" s="224"/>
      <c r="AB151" s="224"/>
      <c r="AC151" s="224"/>
      <c r="AD151" s="224"/>
      <c r="AE151" s="224"/>
      <c r="AF151" s="224"/>
      <c r="AG151" s="224"/>
      <c r="AH151" s="224"/>
      <c r="AI151" s="225">
        <v>5.2</v>
      </c>
      <c r="AJ151" s="224"/>
      <c r="AK151" s="224"/>
      <c r="AL151" s="224"/>
      <c r="AM151" s="224"/>
      <c r="AN151" s="224"/>
      <c r="AO151" s="224"/>
      <c r="AP151" s="225">
        <v>5.2</v>
      </c>
      <c r="AQ151" s="224"/>
      <c r="AR151" s="224"/>
      <c r="AS151" s="224"/>
      <c r="AT151" s="224"/>
      <c r="AU151" s="224"/>
      <c r="AV151" s="224"/>
      <c r="AW151" s="224"/>
      <c r="AX151" s="224"/>
      <c r="AY151" s="224"/>
      <c r="AZ151" s="224"/>
      <c r="BA151" s="224"/>
      <c r="BB151" s="224"/>
      <c r="BC151" s="224"/>
      <c r="BD151" s="224"/>
      <c r="BE151" s="224"/>
      <c r="BF151" s="224"/>
      <c r="BG151" s="224"/>
      <c r="BH151" s="224"/>
      <c r="BI151" s="224"/>
      <c r="BJ151" s="225">
        <v>5.2</v>
      </c>
      <c r="BK151" s="224"/>
      <c r="BL151" s="224"/>
      <c r="BM151" s="224"/>
      <c r="BN151" s="224"/>
      <c r="BO151" s="224"/>
      <c r="BP151" s="224"/>
      <c r="BQ151" s="224"/>
      <c r="BR151" s="225">
        <v>17.492429000000001</v>
      </c>
      <c r="BS151" s="225">
        <v>17.492429000000001</v>
      </c>
      <c r="BT151" s="225">
        <v>17.492429000000001</v>
      </c>
      <c r="BU151" s="224"/>
      <c r="BV151" s="224"/>
      <c r="BW151" s="224"/>
      <c r="BX151" s="224"/>
      <c r="BY151" s="224"/>
      <c r="BZ151" s="224"/>
      <c r="CA151" s="224"/>
      <c r="CB151" s="224"/>
      <c r="CC151" s="224"/>
      <c r="CD151" s="226">
        <v>22.692429000000001</v>
      </c>
    </row>
    <row r="152" spans="1:82" x14ac:dyDescent="0.3">
      <c r="A152" s="221" t="str">
        <f t="shared" si="4"/>
        <v>NON ADDTotalTotalTotal</v>
      </c>
      <c r="B152" s="6" t="s">
        <v>223</v>
      </c>
      <c r="C152" s="6" t="s">
        <v>24</v>
      </c>
      <c r="D152" s="6" t="s">
        <v>24</v>
      </c>
      <c r="E152" s="6" t="s">
        <v>24</v>
      </c>
      <c r="F152" s="224"/>
      <c r="G152" s="224"/>
      <c r="H152" s="224"/>
      <c r="I152" s="224"/>
      <c r="J152" s="224"/>
      <c r="K152" s="225">
        <v>743.81</v>
      </c>
      <c r="L152" s="225">
        <v>743.81</v>
      </c>
      <c r="M152" s="224"/>
      <c r="N152" s="224"/>
      <c r="O152" s="224"/>
      <c r="P152" s="224"/>
      <c r="Q152" s="225">
        <v>3.5</v>
      </c>
      <c r="R152" s="225">
        <v>2082.5149999999999</v>
      </c>
      <c r="S152" s="225">
        <v>2086.0149999999999</v>
      </c>
      <c r="T152" s="224"/>
      <c r="U152" s="224"/>
      <c r="V152" s="224"/>
      <c r="W152" s="224"/>
      <c r="X152" s="225">
        <v>0</v>
      </c>
      <c r="Y152" s="224"/>
      <c r="Z152" s="225">
        <v>1472.97</v>
      </c>
      <c r="AA152" s="225">
        <v>1472.97</v>
      </c>
      <c r="AB152" s="225">
        <v>0</v>
      </c>
      <c r="AC152" s="225">
        <v>12</v>
      </c>
      <c r="AD152" s="225">
        <v>4</v>
      </c>
      <c r="AE152" s="225">
        <v>270.92</v>
      </c>
      <c r="AF152" s="225">
        <v>0</v>
      </c>
      <c r="AG152" s="225">
        <v>434.45</v>
      </c>
      <c r="AH152" s="225">
        <v>721.37</v>
      </c>
      <c r="AI152" s="225">
        <v>23.93</v>
      </c>
      <c r="AJ152" s="225">
        <v>481.73</v>
      </c>
      <c r="AK152" s="225">
        <v>818.02</v>
      </c>
      <c r="AL152" s="225">
        <v>83.14</v>
      </c>
      <c r="AM152" s="225">
        <v>287.63</v>
      </c>
      <c r="AN152" s="225">
        <v>236.94</v>
      </c>
      <c r="AO152" s="225">
        <v>0</v>
      </c>
      <c r="AP152" s="225">
        <v>1931.39</v>
      </c>
      <c r="AQ152" s="225">
        <v>0</v>
      </c>
      <c r="AR152" s="225">
        <v>0</v>
      </c>
      <c r="AS152" s="225">
        <v>0</v>
      </c>
      <c r="AT152" s="225">
        <v>0</v>
      </c>
      <c r="AU152" s="225">
        <v>146.52000000000001</v>
      </c>
      <c r="AV152" s="225">
        <v>146.52000000000001</v>
      </c>
      <c r="AW152" s="224"/>
      <c r="AX152" s="224"/>
      <c r="AY152" s="225">
        <v>607</v>
      </c>
      <c r="AZ152" s="225">
        <v>607</v>
      </c>
      <c r="BA152" s="225">
        <v>29.462</v>
      </c>
      <c r="BB152" s="225">
        <v>29.462</v>
      </c>
      <c r="BC152" s="225">
        <v>109.42</v>
      </c>
      <c r="BD152" s="225">
        <v>38.590000000000003</v>
      </c>
      <c r="BE152" s="225">
        <v>148.01</v>
      </c>
      <c r="BF152" s="224"/>
      <c r="BG152" s="224"/>
      <c r="BH152" s="224"/>
      <c r="BI152" s="224"/>
      <c r="BJ152" s="225">
        <v>7886.5469999999996</v>
      </c>
      <c r="BK152" s="225">
        <v>213.62700000000001</v>
      </c>
      <c r="BL152" s="225">
        <v>84.107445999999996</v>
      </c>
      <c r="BM152" s="225">
        <v>283.275328</v>
      </c>
      <c r="BN152" s="225">
        <v>30.79</v>
      </c>
      <c r="BO152" s="225">
        <v>0.2</v>
      </c>
      <c r="BP152" s="225">
        <v>611.999774</v>
      </c>
      <c r="BQ152" s="225">
        <v>611.999774</v>
      </c>
      <c r="BR152" s="225">
        <v>10.582829</v>
      </c>
      <c r="BS152" s="225">
        <v>10.582829</v>
      </c>
      <c r="BT152" s="225">
        <v>10.582829</v>
      </c>
      <c r="BU152" s="224"/>
      <c r="BV152" s="224"/>
      <c r="BW152" s="224"/>
      <c r="BX152" s="224"/>
      <c r="BY152" s="224"/>
      <c r="BZ152" s="224"/>
      <c r="CA152" s="224"/>
      <c r="CB152" s="224"/>
      <c r="CC152" s="224"/>
      <c r="CD152" s="226">
        <v>8509.1296029999994</v>
      </c>
    </row>
    <row r="153" spans="1:82" x14ac:dyDescent="0.3">
      <c r="A153" s="221" t="str">
        <f t="shared" si="4"/>
        <v>NON ADDCross-Foundation ActivitiesTotalTotal</v>
      </c>
      <c r="B153" s="6" t="s">
        <v>223</v>
      </c>
      <c r="C153" s="6" t="s">
        <v>224</v>
      </c>
      <c r="D153" s="6" t="s">
        <v>24</v>
      </c>
      <c r="E153" s="6" t="s">
        <v>24</v>
      </c>
      <c r="F153" s="224"/>
      <c r="G153" s="224"/>
      <c r="H153" s="224"/>
      <c r="I153" s="224"/>
      <c r="J153" s="224"/>
      <c r="K153" s="225">
        <v>261.11</v>
      </c>
      <c r="L153" s="225">
        <v>261.11</v>
      </c>
      <c r="M153" s="224"/>
      <c r="N153" s="224"/>
      <c r="O153" s="224"/>
      <c r="P153" s="224"/>
      <c r="Q153" s="224"/>
      <c r="R153" s="225">
        <v>815.21699999999998</v>
      </c>
      <c r="S153" s="225">
        <v>815.21699999999998</v>
      </c>
      <c r="T153" s="224"/>
      <c r="U153" s="224"/>
      <c r="V153" s="224"/>
      <c r="W153" s="224"/>
      <c r="X153" s="225">
        <v>0</v>
      </c>
      <c r="Y153" s="224"/>
      <c r="Z153" s="225">
        <v>727.52</v>
      </c>
      <c r="AA153" s="225">
        <v>727.52</v>
      </c>
      <c r="AB153" s="224"/>
      <c r="AC153" s="224"/>
      <c r="AD153" s="225">
        <v>4</v>
      </c>
      <c r="AE153" s="225">
        <v>5.6</v>
      </c>
      <c r="AF153" s="225">
        <v>0</v>
      </c>
      <c r="AG153" s="225">
        <v>61.85</v>
      </c>
      <c r="AH153" s="225">
        <v>71.45</v>
      </c>
      <c r="AI153" s="225">
        <v>11.39</v>
      </c>
      <c r="AJ153" s="225">
        <v>278.04000000000002</v>
      </c>
      <c r="AK153" s="225">
        <v>436.53</v>
      </c>
      <c r="AL153" s="225">
        <v>44.47</v>
      </c>
      <c r="AM153" s="225">
        <v>118.41</v>
      </c>
      <c r="AN153" s="225">
        <v>125.99</v>
      </c>
      <c r="AO153" s="225">
        <v>0</v>
      </c>
      <c r="AP153" s="225">
        <v>1014.83</v>
      </c>
      <c r="AQ153" s="225">
        <v>0</v>
      </c>
      <c r="AR153" s="224"/>
      <c r="AS153" s="225">
        <v>0</v>
      </c>
      <c r="AT153" s="225">
        <v>0</v>
      </c>
      <c r="AU153" s="225">
        <v>58.09</v>
      </c>
      <c r="AV153" s="225">
        <v>58.09</v>
      </c>
      <c r="AW153" s="224"/>
      <c r="AX153" s="224"/>
      <c r="AY153" s="225">
        <v>335.5</v>
      </c>
      <c r="AZ153" s="225">
        <v>335.5</v>
      </c>
      <c r="BA153" s="225">
        <v>17.068999999999999</v>
      </c>
      <c r="BB153" s="225">
        <v>17.068999999999999</v>
      </c>
      <c r="BC153" s="225">
        <v>74.430000000000007</v>
      </c>
      <c r="BD153" s="225">
        <v>7.9</v>
      </c>
      <c r="BE153" s="225">
        <v>82.33</v>
      </c>
      <c r="BF153" s="224"/>
      <c r="BG153" s="224"/>
      <c r="BH153" s="224"/>
      <c r="BI153" s="224"/>
      <c r="BJ153" s="225">
        <v>3383.116</v>
      </c>
      <c r="BK153" s="225">
        <v>133.86699999999999</v>
      </c>
      <c r="BL153" s="225">
        <v>18.350000000000001</v>
      </c>
      <c r="BM153" s="225">
        <v>28.78</v>
      </c>
      <c r="BN153" s="225">
        <v>7.44</v>
      </c>
      <c r="BO153" s="225">
        <v>0.2</v>
      </c>
      <c r="BP153" s="225">
        <v>188.637</v>
      </c>
      <c r="BQ153" s="225">
        <v>188.637</v>
      </c>
      <c r="BR153" s="224"/>
      <c r="BS153" s="224"/>
      <c r="BT153" s="224"/>
      <c r="BU153" s="224"/>
      <c r="BV153" s="224"/>
      <c r="BW153" s="224"/>
      <c r="BX153" s="224"/>
      <c r="BY153" s="224"/>
      <c r="BZ153" s="224"/>
      <c r="CA153" s="224"/>
      <c r="CB153" s="224"/>
      <c r="CC153" s="224"/>
      <c r="CD153" s="226">
        <v>3571.7530000000002</v>
      </c>
    </row>
    <row r="154" spans="1:82" x14ac:dyDescent="0.3">
      <c r="A154" s="221" t="str">
        <f t="shared" si="4"/>
        <v>NON ADDCross-Foundation ActivitiesAdvanced Manufacturing (Total AdMan+FutMan)Total</v>
      </c>
      <c r="B154" s="6" t="s">
        <v>223</v>
      </c>
      <c r="C154" s="6" t="s">
        <v>224</v>
      </c>
      <c r="D154" s="224" t="s">
        <v>225</v>
      </c>
      <c r="E154" s="6" t="s">
        <v>24</v>
      </c>
      <c r="F154" s="224"/>
      <c r="G154" s="224"/>
      <c r="H154" s="224"/>
      <c r="I154" s="224"/>
      <c r="J154" s="224"/>
      <c r="K154" s="225">
        <v>7.16</v>
      </c>
      <c r="L154" s="225">
        <v>7.16</v>
      </c>
      <c r="M154" s="224"/>
      <c r="N154" s="224"/>
      <c r="O154" s="224"/>
      <c r="P154" s="224"/>
      <c r="Q154" s="224"/>
      <c r="R154" s="225">
        <v>45.238999999999997</v>
      </c>
      <c r="S154" s="225">
        <v>45.238999999999997</v>
      </c>
      <c r="T154" s="224"/>
      <c r="U154" s="224"/>
      <c r="V154" s="224"/>
      <c r="W154" s="224"/>
      <c r="X154" s="224"/>
      <c r="Y154" s="224"/>
      <c r="Z154" s="225">
        <v>129</v>
      </c>
      <c r="AA154" s="225">
        <v>129</v>
      </c>
      <c r="AB154" s="224"/>
      <c r="AC154" s="224"/>
      <c r="AD154" s="224"/>
      <c r="AE154" s="224"/>
      <c r="AF154" s="224"/>
      <c r="AG154" s="224"/>
      <c r="AH154" s="224"/>
      <c r="AI154" s="224"/>
      <c r="AJ154" s="225">
        <v>94.83</v>
      </c>
      <c r="AK154" s="225">
        <v>63.5</v>
      </c>
      <c r="AL154" s="225">
        <v>1.08</v>
      </c>
      <c r="AM154" s="225">
        <v>0</v>
      </c>
      <c r="AN154" s="225">
        <v>2.89</v>
      </c>
      <c r="AO154" s="225">
        <v>0</v>
      </c>
      <c r="AP154" s="225">
        <v>162.30000000000001</v>
      </c>
      <c r="AQ154" s="224"/>
      <c r="AR154" s="224"/>
      <c r="AS154" s="224"/>
      <c r="AT154" s="224"/>
      <c r="AU154" s="225">
        <v>0.5</v>
      </c>
      <c r="AV154" s="225">
        <v>0.5</v>
      </c>
      <c r="AW154" s="224"/>
      <c r="AX154" s="224"/>
      <c r="AY154" s="225">
        <v>54</v>
      </c>
      <c r="AZ154" s="225">
        <v>54</v>
      </c>
      <c r="BA154" s="225">
        <v>0.02</v>
      </c>
      <c r="BB154" s="225">
        <v>0.02</v>
      </c>
      <c r="BC154" s="225">
        <v>12.88</v>
      </c>
      <c r="BD154" s="225">
        <v>2.72</v>
      </c>
      <c r="BE154" s="225">
        <v>15.6</v>
      </c>
      <c r="BF154" s="224"/>
      <c r="BG154" s="224"/>
      <c r="BH154" s="224"/>
      <c r="BI154" s="224"/>
      <c r="BJ154" s="225">
        <v>413.81900000000002</v>
      </c>
      <c r="BK154" s="225">
        <v>1.7000000000000001E-2</v>
      </c>
      <c r="BL154" s="224"/>
      <c r="BM154" s="225">
        <v>10.199999999999999</v>
      </c>
      <c r="BN154" s="225">
        <v>2.15</v>
      </c>
      <c r="BO154" s="224"/>
      <c r="BP154" s="225">
        <v>12.367000000000001</v>
      </c>
      <c r="BQ154" s="225">
        <v>12.367000000000001</v>
      </c>
      <c r="BR154" s="224"/>
      <c r="BS154" s="224"/>
      <c r="BT154" s="224"/>
      <c r="BU154" s="224"/>
      <c r="BV154" s="224"/>
      <c r="BW154" s="224"/>
      <c r="BX154" s="224"/>
      <c r="BY154" s="224"/>
      <c r="BZ154" s="224"/>
      <c r="CA154" s="224"/>
      <c r="CB154" s="224"/>
      <c r="CC154" s="224"/>
      <c r="CD154" s="226">
        <v>426.18599999999998</v>
      </c>
    </row>
    <row r="155" spans="1:82" x14ac:dyDescent="0.3">
      <c r="A155" s="221" t="str">
        <f t="shared" si="4"/>
        <v>NON ADDCross-Foundation ActivitiesAdvanced Manufacturing (Total AdMan+FutMan)AdvMan - Core Investments</v>
      </c>
      <c r="B155" s="6" t="s">
        <v>223</v>
      </c>
      <c r="C155" s="6" t="s">
        <v>224</v>
      </c>
      <c r="D155" s="224" t="s">
        <v>225</v>
      </c>
      <c r="E155" s="224" t="s">
        <v>226</v>
      </c>
      <c r="F155" s="224"/>
      <c r="G155" s="224"/>
      <c r="H155" s="224"/>
      <c r="I155" s="224"/>
      <c r="J155" s="224"/>
      <c r="K155" s="225">
        <v>3.16</v>
      </c>
      <c r="L155" s="225">
        <v>3.16</v>
      </c>
      <c r="M155" s="224"/>
      <c r="N155" s="224"/>
      <c r="O155" s="224"/>
      <c r="P155" s="224"/>
      <c r="Q155" s="224"/>
      <c r="R155" s="225">
        <v>44.238999999999997</v>
      </c>
      <c r="S155" s="225">
        <v>44.238999999999997</v>
      </c>
      <c r="T155" s="224"/>
      <c r="U155" s="224"/>
      <c r="V155" s="224"/>
      <c r="W155" s="224"/>
      <c r="X155" s="224"/>
      <c r="Y155" s="224"/>
      <c r="Z155" s="225">
        <v>110</v>
      </c>
      <c r="AA155" s="225">
        <v>110</v>
      </c>
      <c r="AB155" s="224"/>
      <c r="AC155" s="224"/>
      <c r="AD155" s="224"/>
      <c r="AE155" s="224"/>
      <c r="AF155" s="224"/>
      <c r="AG155" s="224"/>
      <c r="AH155" s="224"/>
      <c r="AI155" s="224"/>
      <c r="AJ155" s="225">
        <v>92.83</v>
      </c>
      <c r="AK155" s="225">
        <v>60.7</v>
      </c>
      <c r="AL155" s="225">
        <v>0</v>
      </c>
      <c r="AM155" s="225">
        <v>0</v>
      </c>
      <c r="AN155" s="225">
        <v>2.89</v>
      </c>
      <c r="AO155" s="225">
        <v>0</v>
      </c>
      <c r="AP155" s="225">
        <v>156.41999999999999</v>
      </c>
      <c r="AQ155" s="224"/>
      <c r="AR155" s="224"/>
      <c r="AS155" s="224"/>
      <c r="AT155" s="224"/>
      <c r="AU155" s="225">
        <v>0</v>
      </c>
      <c r="AV155" s="225">
        <v>0</v>
      </c>
      <c r="AW155" s="224"/>
      <c r="AX155" s="224"/>
      <c r="AY155" s="225">
        <v>54</v>
      </c>
      <c r="AZ155" s="225">
        <v>54</v>
      </c>
      <c r="BA155" s="224"/>
      <c r="BB155" s="224"/>
      <c r="BC155" s="225">
        <v>12.63</v>
      </c>
      <c r="BD155" s="225">
        <v>2.72</v>
      </c>
      <c r="BE155" s="225">
        <v>15.35</v>
      </c>
      <c r="BF155" s="224"/>
      <c r="BG155" s="224"/>
      <c r="BH155" s="224"/>
      <c r="BI155" s="224"/>
      <c r="BJ155" s="225">
        <v>383.16899999999998</v>
      </c>
      <c r="BK155" s="225">
        <v>1.7000000000000001E-2</v>
      </c>
      <c r="BL155" s="224"/>
      <c r="BM155" s="225">
        <v>9.26</v>
      </c>
      <c r="BN155" s="225">
        <v>2.15</v>
      </c>
      <c r="BO155" s="224"/>
      <c r="BP155" s="225">
        <v>11.427</v>
      </c>
      <c r="BQ155" s="225">
        <v>11.427</v>
      </c>
      <c r="BR155" s="224"/>
      <c r="BS155" s="224"/>
      <c r="BT155" s="224"/>
      <c r="BU155" s="224"/>
      <c r="BV155" s="224"/>
      <c r="BW155" s="224"/>
      <c r="BX155" s="224"/>
      <c r="BY155" s="224"/>
      <c r="BZ155" s="224"/>
      <c r="CA155" s="224"/>
      <c r="CB155" s="224"/>
      <c r="CC155" s="224"/>
      <c r="CD155" s="226">
        <v>394.596</v>
      </c>
    </row>
    <row r="156" spans="1:82" x14ac:dyDescent="0.3">
      <c r="A156" s="221" t="str">
        <f t="shared" si="4"/>
        <v>NON ADDCross-Foundation ActivitiesAdvanced Manufacturing (Total AdMan+FutMan)AdvMan - Future Manufacturing</v>
      </c>
      <c r="B156" s="6" t="s">
        <v>223</v>
      </c>
      <c r="C156" s="6" t="s">
        <v>224</v>
      </c>
      <c r="D156" s="224" t="s">
        <v>225</v>
      </c>
      <c r="E156" s="224" t="s">
        <v>227</v>
      </c>
      <c r="F156" s="224"/>
      <c r="G156" s="224"/>
      <c r="H156" s="224"/>
      <c r="I156" s="224"/>
      <c r="J156" s="224"/>
      <c r="K156" s="225">
        <v>4</v>
      </c>
      <c r="L156" s="225">
        <v>4</v>
      </c>
      <c r="M156" s="224"/>
      <c r="N156" s="224"/>
      <c r="O156" s="224"/>
      <c r="P156" s="224"/>
      <c r="Q156" s="224"/>
      <c r="R156" s="225">
        <v>1</v>
      </c>
      <c r="S156" s="225">
        <v>1</v>
      </c>
      <c r="T156" s="224"/>
      <c r="U156" s="224"/>
      <c r="V156" s="224"/>
      <c r="W156" s="224"/>
      <c r="X156" s="224"/>
      <c r="Y156" s="224"/>
      <c r="Z156" s="225">
        <v>19</v>
      </c>
      <c r="AA156" s="225">
        <v>19</v>
      </c>
      <c r="AB156" s="224"/>
      <c r="AC156" s="224"/>
      <c r="AD156" s="224"/>
      <c r="AE156" s="224"/>
      <c r="AF156" s="224"/>
      <c r="AG156" s="224"/>
      <c r="AH156" s="224"/>
      <c r="AI156" s="224"/>
      <c r="AJ156" s="225">
        <v>2</v>
      </c>
      <c r="AK156" s="225">
        <v>2.8</v>
      </c>
      <c r="AL156" s="225">
        <v>1.08</v>
      </c>
      <c r="AM156" s="224"/>
      <c r="AN156" s="224"/>
      <c r="AO156" s="224"/>
      <c r="AP156" s="225">
        <v>5.88</v>
      </c>
      <c r="AQ156" s="224"/>
      <c r="AR156" s="224"/>
      <c r="AS156" s="224"/>
      <c r="AT156" s="224"/>
      <c r="AU156" s="225">
        <v>0.5</v>
      </c>
      <c r="AV156" s="225">
        <v>0.5</v>
      </c>
      <c r="AW156" s="224"/>
      <c r="AX156" s="224"/>
      <c r="AY156" s="225">
        <v>0</v>
      </c>
      <c r="AZ156" s="225">
        <v>0</v>
      </c>
      <c r="BA156" s="225">
        <v>0.02</v>
      </c>
      <c r="BB156" s="225">
        <v>0.02</v>
      </c>
      <c r="BC156" s="225">
        <v>0.25</v>
      </c>
      <c r="BD156" s="224"/>
      <c r="BE156" s="225">
        <v>0.25</v>
      </c>
      <c r="BF156" s="224"/>
      <c r="BG156" s="224"/>
      <c r="BH156" s="224"/>
      <c r="BI156" s="224"/>
      <c r="BJ156" s="225">
        <v>30.65</v>
      </c>
      <c r="BK156" s="224"/>
      <c r="BL156" s="224"/>
      <c r="BM156" s="225">
        <v>0.94</v>
      </c>
      <c r="BN156" s="224"/>
      <c r="BO156" s="224"/>
      <c r="BP156" s="225">
        <v>0.94</v>
      </c>
      <c r="BQ156" s="225">
        <v>0.94</v>
      </c>
      <c r="BR156" s="224"/>
      <c r="BS156" s="224"/>
      <c r="BT156" s="224"/>
      <c r="BU156" s="224"/>
      <c r="BV156" s="224"/>
      <c r="BW156" s="224"/>
      <c r="BX156" s="224"/>
      <c r="BY156" s="224"/>
      <c r="BZ156" s="224"/>
      <c r="CA156" s="224"/>
      <c r="CB156" s="224"/>
      <c r="CC156" s="224"/>
      <c r="CD156" s="226">
        <v>31.59</v>
      </c>
    </row>
    <row r="157" spans="1:82" x14ac:dyDescent="0.3">
      <c r="A157" s="221" t="str">
        <f t="shared" si="4"/>
        <v>NON ADDCross-Foundation ActivitiesAdvanced WirelessTotal</v>
      </c>
      <c r="B157" s="6" t="s">
        <v>223</v>
      </c>
      <c r="C157" s="6" t="s">
        <v>224</v>
      </c>
      <c r="D157" s="224" t="s">
        <v>228</v>
      </c>
      <c r="E157" s="6" t="s">
        <v>24</v>
      </c>
      <c r="F157" s="224"/>
      <c r="G157" s="224"/>
      <c r="H157" s="224"/>
      <c r="I157" s="224"/>
      <c r="J157" s="224"/>
      <c r="K157" s="224"/>
      <c r="L157" s="224"/>
      <c r="M157" s="224"/>
      <c r="N157" s="224"/>
      <c r="O157" s="224"/>
      <c r="P157" s="224"/>
      <c r="Q157" s="224"/>
      <c r="R157" s="225">
        <v>89.453999999999994</v>
      </c>
      <c r="S157" s="225">
        <v>89.453999999999994</v>
      </c>
      <c r="T157" s="224"/>
      <c r="U157" s="224"/>
      <c r="V157" s="224"/>
      <c r="W157" s="224"/>
      <c r="X157" s="224"/>
      <c r="Y157" s="224"/>
      <c r="Z157" s="225">
        <v>26</v>
      </c>
      <c r="AA157" s="225">
        <v>26</v>
      </c>
      <c r="AB157" s="224"/>
      <c r="AC157" s="224"/>
      <c r="AD157" s="224"/>
      <c r="AE157" s="224"/>
      <c r="AF157" s="224"/>
      <c r="AG157" s="224"/>
      <c r="AH157" s="224"/>
      <c r="AI157" s="224"/>
      <c r="AJ157" s="224"/>
      <c r="AK157" s="224"/>
      <c r="AL157" s="224"/>
      <c r="AM157" s="225">
        <v>17</v>
      </c>
      <c r="AN157" s="224"/>
      <c r="AO157" s="224"/>
      <c r="AP157" s="225">
        <v>17</v>
      </c>
      <c r="AQ157" s="224"/>
      <c r="AR157" s="224"/>
      <c r="AS157" s="224"/>
      <c r="AT157" s="224"/>
      <c r="AU157" s="224"/>
      <c r="AV157" s="224"/>
      <c r="AW157" s="224"/>
      <c r="AX157" s="224"/>
      <c r="AY157" s="225">
        <v>23.1</v>
      </c>
      <c r="AZ157" s="225">
        <v>23.1</v>
      </c>
      <c r="BA157" s="224"/>
      <c r="BB157" s="224"/>
      <c r="BC157" s="224"/>
      <c r="BD157" s="224"/>
      <c r="BE157" s="224"/>
      <c r="BF157" s="224"/>
      <c r="BG157" s="224"/>
      <c r="BH157" s="224"/>
      <c r="BI157" s="224"/>
      <c r="BJ157" s="225">
        <v>155.554</v>
      </c>
      <c r="BK157" s="224"/>
      <c r="BL157" s="224"/>
      <c r="BM157" s="224"/>
      <c r="BN157" s="224"/>
      <c r="BO157" s="224"/>
      <c r="BP157" s="224"/>
      <c r="BQ157" s="224"/>
      <c r="BR157" s="224"/>
      <c r="BS157" s="224"/>
      <c r="BT157" s="224"/>
      <c r="BU157" s="224"/>
      <c r="BV157" s="224"/>
      <c r="BW157" s="224"/>
      <c r="BX157" s="224"/>
      <c r="BY157" s="224"/>
      <c r="BZ157" s="224"/>
      <c r="CA157" s="224"/>
      <c r="CB157" s="224"/>
      <c r="CC157" s="224"/>
      <c r="CD157" s="226">
        <v>155.554</v>
      </c>
    </row>
    <row r="158" spans="1:82" x14ac:dyDescent="0.3">
      <c r="A158" s="221" t="str">
        <f t="shared" si="4"/>
        <v>NON ADDCross-Foundation ActivitiesArtificial Intelligence (AI)Total</v>
      </c>
      <c r="B158" s="6" t="s">
        <v>223</v>
      </c>
      <c r="C158" s="6" t="s">
        <v>224</v>
      </c>
      <c r="D158" s="224" t="s">
        <v>229</v>
      </c>
      <c r="E158" s="6" t="s">
        <v>24</v>
      </c>
      <c r="F158" s="224"/>
      <c r="G158" s="224"/>
      <c r="H158" s="224"/>
      <c r="I158" s="224"/>
      <c r="J158" s="224"/>
      <c r="K158" s="225">
        <v>20</v>
      </c>
      <c r="L158" s="225">
        <v>20</v>
      </c>
      <c r="M158" s="224"/>
      <c r="N158" s="224"/>
      <c r="O158" s="224"/>
      <c r="P158" s="224"/>
      <c r="Q158" s="224"/>
      <c r="R158" s="225">
        <v>346.96100000000001</v>
      </c>
      <c r="S158" s="225">
        <v>346.96100000000001</v>
      </c>
      <c r="T158" s="224"/>
      <c r="U158" s="224"/>
      <c r="V158" s="224"/>
      <c r="W158" s="224"/>
      <c r="X158" s="224"/>
      <c r="Y158" s="224"/>
      <c r="Z158" s="225">
        <v>88</v>
      </c>
      <c r="AA158" s="225">
        <v>88</v>
      </c>
      <c r="AB158" s="224"/>
      <c r="AC158" s="224"/>
      <c r="AD158" s="224"/>
      <c r="AE158" s="224"/>
      <c r="AF158" s="224"/>
      <c r="AG158" s="225">
        <v>1</v>
      </c>
      <c r="AH158" s="225">
        <v>1</v>
      </c>
      <c r="AI158" s="225">
        <v>5.89</v>
      </c>
      <c r="AJ158" s="225">
        <v>23.34</v>
      </c>
      <c r="AK158" s="225">
        <v>58.46</v>
      </c>
      <c r="AL158" s="225">
        <v>18.96</v>
      </c>
      <c r="AM158" s="225">
        <v>4.03</v>
      </c>
      <c r="AN158" s="225">
        <v>23.5</v>
      </c>
      <c r="AO158" s="224"/>
      <c r="AP158" s="225">
        <v>134.18</v>
      </c>
      <c r="AQ158" s="224"/>
      <c r="AR158" s="224"/>
      <c r="AS158" s="224"/>
      <c r="AT158" s="224"/>
      <c r="AU158" s="225">
        <v>17.739999999999998</v>
      </c>
      <c r="AV158" s="225">
        <v>17.739999999999998</v>
      </c>
      <c r="AW158" s="224"/>
      <c r="AX158" s="224"/>
      <c r="AY158" s="225">
        <v>100</v>
      </c>
      <c r="AZ158" s="225">
        <v>100</v>
      </c>
      <c r="BA158" s="224"/>
      <c r="BB158" s="224"/>
      <c r="BC158" s="225">
        <v>14.3</v>
      </c>
      <c r="BD158" s="224"/>
      <c r="BE158" s="225">
        <v>14.3</v>
      </c>
      <c r="BF158" s="224"/>
      <c r="BG158" s="224"/>
      <c r="BH158" s="224"/>
      <c r="BI158" s="224"/>
      <c r="BJ158" s="225">
        <v>722.18100000000004</v>
      </c>
      <c r="BK158" s="225">
        <v>45.62</v>
      </c>
      <c r="BL158" s="225">
        <v>9.7200000000000006</v>
      </c>
      <c r="BM158" s="225">
        <v>4.2699999999999996</v>
      </c>
      <c r="BN158" s="224"/>
      <c r="BO158" s="224"/>
      <c r="BP158" s="225">
        <v>59.61</v>
      </c>
      <c r="BQ158" s="225">
        <v>59.61</v>
      </c>
      <c r="BR158" s="224"/>
      <c r="BS158" s="224"/>
      <c r="BT158" s="224"/>
      <c r="BU158" s="224"/>
      <c r="BV158" s="224"/>
      <c r="BW158" s="224"/>
      <c r="BX158" s="224"/>
      <c r="BY158" s="224"/>
      <c r="BZ158" s="224"/>
      <c r="CA158" s="224"/>
      <c r="CB158" s="224"/>
      <c r="CC158" s="224"/>
      <c r="CD158" s="226">
        <v>781.79100000000005</v>
      </c>
    </row>
    <row r="159" spans="1:82" x14ac:dyDescent="0.3">
      <c r="A159" s="221" t="str">
        <f t="shared" si="4"/>
        <v>NON ADDCross-Foundation ActivitiesBioeconomyTotal</v>
      </c>
      <c r="B159" s="6" t="s">
        <v>223</v>
      </c>
      <c r="C159" s="6" t="s">
        <v>224</v>
      </c>
      <c r="D159" s="224" t="s">
        <v>230</v>
      </c>
      <c r="E159" s="6" t="s">
        <v>24</v>
      </c>
      <c r="F159" s="224"/>
      <c r="G159" s="224"/>
      <c r="H159" s="224"/>
      <c r="I159" s="224"/>
      <c r="J159" s="224"/>
      <c r="K159" s="224"/>
      <c r="L159" s="224"/>
      <c r="M159" s="224"/>
      <c r="N159" s="224"/>
      <c r="O159" s="224"/>
      <c r="P159" s="224"/>
      <c r="Q159" s="224"/>
      <c r="R159" s="224"/>
      <c r="S159" s="224"/>
      <c r="T159" s="224"/>
      <c r="U159" s="224"/>
      <c r="V159" s="224"/>
      <c r="W159" s="224"/>
      <c r="X159" s="224"/>
      <c r="Y159" s="224"/>
      <c r="Z159" s="225">
        <v>92</v>
      </c>
      <c r="AA159" s="225">
        <v>92</v>
      </c>
      <c r="AB159" s="224"/>
      <c r="AC159" s="224"/>
      <c r="AD159" s="224"/>
      <c r="AE159" s="224"/>
      <c r="AF159" s="224"/>
      <c r="AG159" s="224"/>
      <c r="AH159" s="224"/>
      <c r="AI159" s="224"/>
      <c r="AJ159" s="225">
        <v>0</v>
      </c>
      <c r="AK159" s="225">
        <v>0</v>
      </c>
      <c r="AL159" s="224"/>
      <c r="AM159" s="224"/>
      <c r="AN159" s="225">
        <v>0</v>
      </c>
      <c r="AO159" s="224"/>
      <c r="AP159" s="225">
        <v>0</v>
      </c>
      <c r="AQ159" s="224"/>
      <c r="AR159" s="224"/>
      <c r="AS159" s="224"/>
      <c r="AT159" s="224"/>
      <c r="AU159" s="225">
        <v>1.68</v>
      </c>
      <c r="AV159" s="225">
        <v>1.68</v>
      </c>
      <c r="AW159" s="224"/>
      <c r="AX159" s="224"/>
      <c r="AY159" s="224"/>
      <c r="AZ159" s="224"/>
      <c r="BA159" s="224"/>
      <c r="BB159" s="224"/>
      <c r="BC159" s="225">
        <v>19.93</v>
      </c>
      <c r="BD159" s="225">
        <v>2.59</v>
      </c>
      <c r="BE159" s="225">
        <v>22.52</v>
      </c>
      <c r="BF159" s="224"/>
      <c r="BG159" s="224"/>
      <c r="BH159" s="224"/>
      <c r="BI159" s="224"/>
      <c r="BJ159" s="225">
        <v>116.2</v>
      </c>
      <c r="BK159" s="224"/>
      <c r="BL159" s="224"/>
      <c r="BM159" s="224"/>
      <c r="BN159" s="224"/>
      <c r="BO159" s="224"/>
      <c r="BP159" s="224"/>
      <c r="BQ159" s="224"/>
      <c r="BR159" s="224"/>
      <c r="BS159" s="224"/>
      <c r="BT159" s="224"/>
      <c r="BU159" s="224"/>
      <c r="BV159" s="224"/>
      <c r="BW159" s="224"/>
      <c r="BX159" s="224"/>
      <c r="BY159" s="224"/>
      <c r="BZ159" s="224"/>
      <c r="CA159" s="224"/>
      <c r="CB159" s="224"/>
      <c r="CC159" s="224"/>
      <c r="CD159" s="226">
        <v>116.2</v>
      </c>
    </row>
    <row r="160" spans="1:82" x14ac:dyDescent="0.3">
      <c r="A160" s="221" t="str">
        <f t="shared" si="4"/>
        <v>NON ADDCross-Foundation ActivitiesBiotechnologyTotal</v>
      </c>
      <c r="B160" s="6" t="s">
        <v>223</v>
      </c>
      <c r="C160" s="6" t="s">
        <v>224</v>
      </c>
      <c r="D160" s="224" t="s">
        <v>231</v>
      </c>
      <c r="E160" s="6" t="s">
        <v>24</v>
      </c>
      <c r="F160" s="224"/>
      <c r="G160" s="224"/>
      <c r="H160" s="224"/>
      <c r="I160" s="224"/>
      <c r="J160" s="224"/>
      <c r="K160" s="225">
        <v>118</v>
      </c>
      <c r="L160" s="225">
        <v>118</v>
      </c>
      <c r="M160" s="224"/>
      <c r="N160" s="224"/>
      <c r="O160" s="224"/>
      <c r="P160" s="224"/>
      <c r="Q160" s="224"/>
      <c r="R160" s="225">
        <v>9.6509999999999998</v>
      </c>
      <c r="S160" s="225">
        <v>9.6509999999999998</v>
      </c>
      <c r="T160" s="224"/>
      <c r="U160" s="224"/>
      <c r="V160" s="224"/>
      <c r="W160" s="224"/>
      <c r="X160" s="224"/>
      <c r="Y160" s="224"/>
      <c r="Z160" s="225">
        <v>92</v>
      </c>
      <c r="AA160" s="225">
        <v>92</v>
      </c>
      <c r="AB160" s="224"/>
      <c r="AC160" s="224"/>
      <c r="AD160" s="224"/>
      <c r="AE160" s="225">
        <v>1.6</v>
      </c>
      <c r="AF160" s="224"/>
      <c r="AG160" s="225">
        <v>10</v>
      </c>
      <c r="AH160" s="225">
        <v>11.6</v>
      </c>
      <c r="AI160" s="224"/>
      <c r="AJ160" s="225">
        <v>40.69</v>
      </c>
      <c r="AK160" s="225">
        <v>28.9</v>
      </c>
      <c r="AL160" s="224"/>
      <c r="AM160" s="224"/>
      <c r="AN160" s="225">
        <v>6.04</v>
      </c>
      <c r="AO160" s="224"/>
      <c r="AP160" s="225">
        <v>75.63</v>
      </c>
      <c r="AQ160" s="224"/>
      <c r="AR160" s="224"/>
      <c r="AS160" s="224"/>
      <c r="AT160" s="224"/>
      <c r="AU160" s="225">
        <v>1.68</v>
      </c>
      <c r="AV160" s="225">
        <v>1.68</v>
      </c>
      <c r="AW160" s="224"/>
      <c r="AX160" s="224"/>
      <c r="AY160" s="225">
        <v>30</v>
      </c>
      <c r="AZ160" s="225">
        <v>30</v>
      </c>
      <c r="BA160" s="224"/>
      <c r="BB160" s="224"/>
      <c r="BC160" s="225">
        <v>19.93</v>
      </c>
      <c r="BD160" s="225">
        <v>2.59</v>
      </c>
      <c r="BE160" s="225">
        <v>22.52</v>
      </c>
      <c r="BF160" s="224"/>
      <c r="BG160" s="224"/>
      <c r="BH160" s="224"/>
      <c r="BI160" s="224"/>
      <c r="BJ160" s="225">
        <v>361.08100000000002</v>
      </c>
      <c r="BK160" s="225">
        <v>3</v>
      </c>
      <c r="BL160" s="224"/>
      <c r="BM160" s="225">
        <v>4.7300000000000004</v>
      </c>
      <c r="BN160" s="225">
        <v>1.64</v>
      </c>
      <c r="BO160" s="224"/>
      <c r="BP160" s="225">
        <v>9.3699999999999992</v>
      </c>
      <c r="BQ160" s="225">
        <v>9.3699999999999992</v>
      </c>
      <c r="BR160" s="224"/>
      <c r="BS160" s="224"/>
      <c r="BT160" s="224"/>
      <c r="BU160" s="224"/>
      <c r="BV160" s="224"/>
      <c r="BW160" s="224"/>
      <c r="BX160" s="224"/>
      <c r="BY160" s="224"/>
      <c r="BZ160" s="224"/>
      <c r="CA160" s="224"/>
      <c r="CB160" s="224"/>
      <c r="CC160" s="224"/>
      <c r="CD160" s="226">
        <v>370.45100000000002</v>
      </c>
    </row>
    <row r="161" spans="1:82" x14ac:dyDescent="0.3">
      <c r="A161" s="221" t="str">
        <f t="shared" si="4"/>
        <v>NON ADDCross-Foundation ActivitiesBrain Research through Advancing Innovative Neurotechnologies (BRAIN) InitiativeTotal</v>
      </c>
      <c r="B161" s="6" t="s">
        <v>223</v>
      </c>
      <c r="C161" s="6" t="s">
        <v>224</v>
      </c>
      <c r="D161" s="224" t="s">
        <v>232</v>
      </c>
      <c r="E161" s="6" t="s">
        <v>24</v>
      </c>
      <c r="F161" s="224"/>
      <c r="G161" s="224"/>
      <c r="H161" s="224"/>
      <c r="I161" s="224"/>
      <c r="J161" s="224"/>
      <c r="K161" s="225">
        <v>0</v>
      </c>
      <c r="L161" s="225">
        <v>0</v>
      </c>
      <c r="M161" s="224"/>
      <c r="N161" s="224"/>
      <c r="O161" s="224"/>
      <c r="P161" s="224"/>
      <c r="Q161" s="224"/>
      <c r="R161" s="224"/>
      <c r="S161" s="224"/>
      <c r="T161" s="224"/>
      <c r="U161" s="224"/>
      <c r="V161" s="224"/>
      <c r="W161" s="224"/>
      <c r="X161" s="224"/>
      <c r="Y161" s="224"/>
      <c r="Z161" s="225">
        <v>10</v>
      </c>
      <c r="AA161" s="225">
        <v>10</v>
      </c>
      <c r="AB161" s="224"/>
      <c r="AC161" s="224"/>
      <c r="AD161" s="224"/>
      <c r="AE161" s="224"/>
      <c r="AF161" s="224"/>
      <c r="AG161" s="224"/>
      <c r="AH161" s="224"/>
      <c r="AI161" s="224"/>
      <c r="AJ161" s="224"/>
      <c r="AK161" s="224"/>
      <c r="AL161" s="224"/>
      <c r="AM161" s="225">
        <v>0</v>
      </c>
      <c r="AN161" s="224"/>
      <c r="AO161" s="224"/>
      <c r="AP161" s="225">
        <v>0</v>
      </c>
      <c r="AQ161" s="225">
        <v>0</v>
      </c>
      <c r="AR161" s="224"/>
      <c r="AS161" s="225">
        <v>0</v>
      </c>
      <c r="AT161" s="224"/>
      <c r="AU161" s="225">
        <v>4.59</v>
      </c>
      <c r="AV161" s="225">
        <v>4.59</v>
      </c>
      <c r="AW161" s="224"/>
      <c r="AX161" s="224"/>
      <c r="AY161" s="225">
        <v>6.6</v>
      </c>
      <c r="AZ161" s="225">
        <v>6.6</v>
      </c>
      <c r="BA161" s="224"/>
      <c r="BB161" s="224"/>
      <c r="BC161" s="224"/>
      <c r="BD161" s="224"/>
      <c r="BE161" s="224"/>
      <c r="BF161" s="224"/>
      <c r="BG161" s="224"/>
      <c r="BH161" s="224"/>
      <c r="BI161" s="224"/>
      <c r="BJ161" s="225">
        <v>21.19</v>
      </c>
      <c r="BK161" s="225">
        <v>2.99</v>
      </c>
      <c r="BL161" s="225">
        <v>4.99</v>
      </c>
      <c r="BM161" s="225">
        <v>3.02</v>
      </c>
      <c r="BN161" s="224"/>
      <c r="BO161" s="224"/>
      <c r="BP161" s="225">
        <v>11</v>
      </c>
      <c r="BQ161" s="225">
        <v>11</v>
      </c>
      <c r="BR161" s="224"/>
      <c r="BS161" s="224"/>
      <c r="BT161" s="224"/>
      <c r="BU161" s="224"/>
      <c r="BV161" s="224"/>
      <c r="BW161" s="224"/>
      <c r="BX161" s="224"/>
      <c r="BY161" s="224"/>
      <c r="BZ161" s="224"/>
      <c r="CA161" s="224"/>
      <c r="CB161" s="224"/>
      <c r="CC161" s="224"/>
      <c r="CD161" s="226">
        <v>32.19</v>
      </c>
    </row>
    <row r="162" spans="1:82" x14ac:dyDescent="0.3">
      <c r="A162" s="221" t="str">
        <f t="shared" si="4"/>
        <v>NON ADDCross-Foundation ActivitiesClean Energy TechnologyTotal</v>
      </c>
      <c r="B162" s="6" t="s">
        <v>223</v>
      </c>
      <c r="C162" s="6" t="s">
        <v>224</v>
      </c>
      <c r="D162" s="224" t="s">
        <v>233</v>
      </c>
      <c r="E162" s="6" t="s">
        <v>24</v>
      </c>
      <c r="F162" s="224"/>
      <c r="G162" s="224"/>
      <c r="H162" s="224"/>
      <c r="I162" s="224"/>
      <c r="J162" s="224"/>
      <c r="K162" s="225">
        <v>50</v>
      </c>
      <c r="L162" s="225">
        <v>50</v>
      </c>
      <c r="M162" s="224"/>
      <c r="N162" s="224"/>
      <c r="O162" s="224"/>
      <c r="P162" s="224"/>
      <c r="Q162" s="224"/>
      <c r="R162" s="225">
        <v>29.280999999999999</v>
      </c>
      <c r="S162" s="225">
        <v>29.280999999999999</v>
      </c>
      <c r="T162" s="224"/>
      <c r="U162" s="224"/>
      <c r="V162" s="224"/>
      <c r="W162" s="224"/>
      <c r="X162" s="224"/>
      <c r="Y162" s="224"/>
      <c r="Z162" s="225">
        <v>150</v>
      </c>
      <c r="AA162" s="225">
        <v>150</v>
      </c>
      <c r="AB162" s="224"/>
      <c r="AC162" s="224"/>
      <c r="AD162" s="224"/>
      <c r="AE162" s="224"/>
      <c r="AF162" s="224"/>
      <c r="AG162" s="224"/>
      <c r="AH162" s="224"/>
      <c r="AI162" s="224"/>
      <c r="AJ162" s="225">
        <v>58.1</v>
      </c>
      <c r="AK162" s="225">
        <v>54.57</v>
      </c>
      <c r="AL162" s="225">
        <v>1.94</v>
      </c>
      <c r="AM162" s="225">
        <v>2.98</v>
      </c>
      <c r="AN162" s="225">
        <v>5.49</v>
      </c>
      <c r="AO162" s="225">
        <v>0</v>
      </c>
      <c r="AP162" s="225">
        <v>123.08</v>
      </c>
      <c r="AQ162" s="224"/>
      <c r="AR162" s="224"/>
      <c r="AS162" s="224"/>
      <c r="AT162" s="224"/>
      <c r="AU162" s="224"/>
      <c r="AV162" s="224"/>
      <c r="AW162" s="224"/>
      <c r="AX162" s="224"/>
      <c r="AY162" s="225">
        <v>49.2</v>
      </c>
      <c r="AZ162" s="225">
        <v>49.2</v>
      </c>
      <c r="BA162" s="225">
        <v>17.048999999999999</v>
      </c>
      <c r="BB162" s="225">
        <v>17.048999999999999</v>
      </c>
      <c r="BC162" s="225">
        <v>0.14000000000000001</v>
      </c>
      <c r="BD162" s="224"/>
      <c r="BE162" s="225">
        <v>0.14000000000000001</v>
      </c>
      <c r="BF162" s="224"/>
      <c r="BG162" s="224"/>
      <c r="BH162" s="224"/>
      <c r="BI162" s="224"/>
      <c r="BJ162" s="225">
        <v>418.75</v>
      </c>
      <c r="BK162" s="224"/>
      <c r="BL162" s="224"/>
      <c r="BM162" s="224"/>
      <c r="BN162" s="224"/>
      <c r="BO162" s="224"/>
      <c r="BP162" s="224"/>
      <c r="BQ162" s="224"/>
      <c r="BR162" s="224"/>
      <c r="BS162" s="224"/>
      <c r="BT162" s="224"/>
      <c r="BU162" s="224"/>
      <c r="BV162" s="224"/>
      <c r="BW162" s="224"/>
      <c r="BX162" s="224"/>
      <c r="BY162" s="224"/>
      <c r="BZ162" s="224"/>
      <c r="CA162" s="224"/>
      <c r="CB162" s="224"/>
      <c r="CC162" s="224"/>
      <c r="CD162" s="226">
        <v>418.75</v>
      </c>
    </row>
    <row r="163" spans="1:82" x14ac:dyDescent="0.3">
      <c r="A163" s="221" t="str">
        <f t="shared" si="4"/>
        <v>NON ADDCross-Foundation ActivitiesCoastlines and People (CoPE)Total</v>
      </c>
      <c r="B163" s="6" t="s">
        <v>223</v>
      </c>
      <c r="C163" s="6" t="s">
        <v>224</v>
      </c>
      <c r="D163" s="224" t="s">
        <v>234</v>
      </c>
      <c r="E163" s="6" t="s">
        <v>24</v>
      </c>
      <c r="F163" s="224"/>
      <c r="G163" s="224"/>
      <c r="H163" s="224"/>
      <c r="I163" s="224"/>
      <c r="J163" s="224"/>
      <c r="K163" s="225">
        <v>1</v>
      </c>
      <c r="L163" s="225">
        <v>1</v>
      </c>
      <c r="M163" s="224"/>
      <c r="N163" s="224"/>
      <c r="O163" s="224"/>
      <c r="P163" s="224"/>
      <c r="Q163" s="224"/>
      <c r="R163" s="224"/>
      <c r="S163" s="224"/>
      <c r="T163" s="224"/>
      <c r="U163" s="224"/>
      <c r="V163" s="224"/>
      <c r="W163" s="224"/>
      <c r="X163" s="224"/>
      <c r="Y163" s="224"/>
      <c r="Z163" s="225">
        <v>1.5</v>
      </c>
      <c r="AA163" s="225">
        <v>1.5</v>
      </c>
      <c r="AB163" s="224"/>
      <c r="AC163" s="224"/>
      <c r="AD163" s="224"/>
      <c r="AE163" s="224"/>
      <c r="AF163" s="224"/>
      <c r="AG163" s="225">
        <v>15</v>
      </c>
      <c r="AH163" s="225">
        <v>15</v>
      </c>
      <c r="AI163" s="224"/>
      <c r="AJ163" s="224"/>
      <c r="AK163" s="224"/>
      <c r="AL163" s="224"/>
      <c r="AM163" s="224"/>
      <c r="AN163" s="224"/>
      <c r="AO163" s="224"/>
      <c r="AP163" s="224"/>
      <c r="AQ163" s="224"/>
      <c r="AR163" s="224"/>
      <c r="AS163" s="224"/>
      <c r="AT163" s="224"/>
      <c r="AU163" s="225">
        <v>1.75</v>
      </c>
      <c r="AV163" s="225">
        <v>1.75</v>
      </c>
      <c r="AW163" s="224"/>
      <c r="AX163" s="224"/>
      <c r="AY163" s="224"/>
      <c r="AZ163" s="224"/>
      <c r="BA163" s="224"/>
      <c r="BB163" s="224"/>
      <c r="BC163" s="224"/>
      <c r="BD163" s="224"/>
      <c r="BE163" s="224"/>
      <c r="BF163" s="224"/>
      <c r="BG163" s="224"/>
      <c r="BH163" s="224"/>
      <c r="BI163" s="224"/>
      <c r="BJ163" s="225">
        <v>19.25</v>
      </c>
      <c r="BK163" s="224"/>
      <c r="BL163" s="224"/>
      <c r="BM163" s="224"/>
      <c r="BN163" s="224"/>
      <c r="BO163" s="224"/>
      <c r="BP163" s="224"/>
      <c r="BQ163" s="224"/>
      <c r="BR163" s="224"/>
      <c r="BS163" s="224"/>
      <c r="BT163" s="224"/>
      <c r="BU163" s="224"/>
      <c r="BV163" s="224"/>
      <c r="BW163" s="224"/>
      <c r="BX163" s="224"/>
      <c r="BY163" s="224"/>
      <c r="BZ163" s="224"/>
      <c r="CA163" s="224"/>
      <c r="CB163" s="224"/>
      <c r="CC163" s="224"/>
      <c r="CD163" s="226">
        <v>19.25</v>
      </c>
    </row>
    <row r="164" spans="1:82" x14ac:dyDescent="0.3">
      <c r="A164" s="221" t="str">
        <f t="shared" si="4"/>
        <v>NON ADDCross-Foundation ActivitiesHarnessing the Data Revolution (HDR) - TotalTotal</v>
      </c>
      <c r="B164" s="6" t="s">
        <v>223</v>
      </c>
      <c r="C164" s="6" t="s">
        <v>224</v>
      </c>
      <c r="D164" s="224" t="s">
        <v>235</v>
      </c>
      <c r="E164" s="6" t="s">
        <v>24</v>
      </c>
      <c r="F164" s="224"/>
      <c r="G164" s="224"/>
      <c r="H164" s="224"/>
      <c r="I164" s="224"/>
      <c r="J164" s="224"/>
      <c r="K164" s="225">
        <v>7.41</v>
      </c>
      <c r="L164" s="225">
        <v>7.41</v>
      </c>
      <c r="M164" s="224"/>
      <c r="N164" s="224"/>
      <c r="O164" s="224"/>
      <c r="P164" s="224"/>
      <c r="Q164" s="224"/>
      <c r="R164" s="225">
        <v>82.1</v>
      </c>
      <c r="S164" s="225">
        <v>82.1</v>
      </c>
      <c r="T164" s="224"/>
      <c r="U164" s="224"/>
      <c r="V164" s="224"/>
      <c r="W164" s="224"/>
      <c r="X164" s="224"/>
      <c r="Y164" s="224"/>
      <c r="Z164" s="225">
        <v>13</v>
      </c>
      <c r="AA164" s="225">
        <v>13</v>
      </c>
      <c r="AB164" s="224"/>
      <c r="AC164" s="224"/>
      <c r="AD164" s="224"/>
      <c r="AE164" s="225">
        <v>1</v>
      </c>
      <c r="AF164" s="224"/>
      <c r="AG164" s="225">
        <v>5.6</v>
      </c>
      <c r="AH164" s="225">
        <v>6.6</v>
      </c>
      <c r="AI164" s="225">
        <v>1.99</v>
      </c>
      <c r="AJ164" s="225">
        <v>19.399999999999999</v>
      </c>
      <c r="AK164" s="225">
        <v>4.3</v>
      </c>
      <c r="AL164" s="225">
        <v>5.25</v>
      </c>
      <c r="AM164" s="225">
        <v>0</v>
      </c>
      <c r="AN164" s="225">
        <v>2.92</v>
      </c>
      <c r="AO164" s="225">
        <v>0</v>
      </c>
      <c r="AP164" s="225">
        <v>33.86</v>
      </c>
      <c r="AQ164" s="224"/>
      <c r="AR164" s="224"/>
      <c r="AS164" s="224"/>
      <c r="AT164" s="224"/>
      <c r="AU164" s="225">
        <v>9.26</v>
      </c>
      <c r="AV164" s="225">
        <v>9.26</v>
      </c>
      <c r="AW164" s="224"/>
      <c r="AX164" s="224"/>
      <c r="AY164" s="225">
        <v>13.7</v>
      </c>
      <c r="AZ164" s="225">
        <v>13.7</v>
      </c>
      <c r="BA164" s="224"/>
      <c r="BB164" s="224"/>
      <c r="BC164" s="225">
        <v>7.25</v>
      </c>
      <c r="BD164" s="225">
        <v>0</v>
      </c>
      <c r="BE164" s="225">
        <v>7.25</v>
      </c>
      <c r="BF164" s="224"/>
      <c r="BG164" s="224"/>
      <c r="BH164" s="224"/>
      <c r="BI164" s="224"/>
      <c r="BJ164" s="225">
        <v>173.18</v>
      </c>
      <c r="BK164" s="225">
        <v>5.42</v>
      </c>
      <c r="BL164" s="224"/>
      <c r="BM164" s="225">
        <v>0.26</v>
      </c>
      <c r="BN164" s="225">
        <v>0.1</v>
      </c>
      <c r="BO164" s="224"/>
      <c r="BP164" s="225">
        <v>5.78</v>
      </c>
      <c r="BQ164" s="225">
        <v>5.78</v>
      </c>
      <c r="BR164" s="224"/>
      <c r="BS164" s="224"/>
      <c r="BT164" s="224"/>
      <c r="BU164" s="224"/>
      <c r="BV164" s="224"/>
      <c r="BW164" s="224"/>
      <c r="BX164" s="224"/>
      <c r="BY164" s="224"/>
      <c r="BZ164" s="224"/>
      <c r="CA164" s="224"/>
      <c r="CB164" s="224"/>
      <c r="CC164" s="224"/>
      <c r="CD164" s="226">
        <v>178.96</v>
      </c>
    </row>
    <row r="165" spans="1:82" x14ac:dyDescent="0.3">
      <c r="A165" s="221" t="str">
        <f t="shared" si="4"/>
        <v>NON ADDCross-Foundation ActivitiesInnovations at the Nexus of Food, Energy, and Water Systems (INFEWS)Total</v>
      </c>
      <c r="B165" s="6" t="s">
        <v>223</v>
      </c>
      <c r="C165" s="6" t="s">
        <v>224</v>
      </c>
      <c r="D165" s="224" t="s">
        <v>236</v>
      </c>
      <c r="E165" s="6" t="s">
        <v>24</v>
      </c>
      <c r="F165" s="224"/>
      <c r="G165" s="224"/>
      <c r="H165" s="224"/>
      <c r="I165" s="224"/>
      <c r="J165" s="224"/>
      <c r="K165" s="224"/>
      <c r="L165" s="224"/>
      <c r="M165" s="224"/>
      <c r="N165" s="224"/>
      <c r="O165" s="224"/>
      <c r="P165" s="224"/>
      <c r="Q165" s="224"/>
      <c r="R165" s="224"/>
      <c r="S165" s="224"/>
      <c r="T165" s="224"/>
      <c r="U165" s="224"/>
      <c r="V165" s="224"/>
      <c r="W165" s="224"/>
      <c r="X165" s="224"/>
      <c r="Y165" s="224"/>
      <c r="Z165" s="225">
        <v>0</v>
      </c>
      <c r="AA165" s="225">
        <v>0</v>
      </c>
      <c r="AB165" s="224"/>
      <c r="AC165" s="224"/>
      <c r="AD165" s="224"/>
      <c r="AE165" s="224"/>
      <c r="AF165" s="225">
        <v>0</v>
      </c>
      <c r="AG165" s="224"/>
      <c r="AH165" s="225">
        <v>0</v>
      </c>
      <c r="AI165" s="224"/>
      <c r="AJ165" s="225">
        <v>0</v>
      </c>
      <c r="AK165" s="225">
        <v>0</v>
      </c>
      <c r="AL165" s="225">
        <v>0</v>
      </c>
      <c r="AM165" s="225">
        <v>0</v>
      </c>
      <c r="AN165" s="224"/>
      <c r="AO165" s="224"/>
      <c r="AP165" s="225">
        <v>0</v>
      </c>
      <c r="AQ165" s="225">
        <v>0</v>
      </c>
      <c r="AR165" s="224"/>
      <c r="AS165" s="224"/>
      <c r="AT165" s="225">
        <v>0</v>
      </c>
      <c r="AU165" s="225">
        <v>0</v>
      </c>
      <c r="AV165" s="225">
        <v>0</v>
      </c>
      <c r="AW165" s="224"/>
      <c r="AX165" s="224"/>
      <c r="AY165" s="224"/>
      <c r="AZ165" s="224"/>
      <c r="BA165" s="225">
        <v>0</v>
      </c>
      <c r="BB165" s="225">
        <v>0</v>
      </c>
      <c r="BC165" s="225">
        <v>0</v>
      </c>
      <c r="BD165" s="224"/>
      <c r="BE165" s="225">
        <v>0</v>
      </c>
      <c r="BF165" s="224"/>
      <c r="BG165" s="224"/>
      <c r="BH165" s="224"/>
      <c r="BI165" s="224"/>
      <c r="BJ165" s="225">
        <v>0</v>
      </c>
      <c r="BK165" s="224"/>
      <c r="BL165" s="224"/>
      <c r="BM165" s="224"/>
      <c r="BN165" s="224"/>
      <c r="BO165" s="224"/>
      <c r="BP165" s="224"/>
      <c r="BQ165" s="224"/>
      <c r="BR165" s="224"/>
      <c r="BS165" s="224"/>
      <c r="BT165" s="224"/>
      <c r="BU165" s="224"/>
      <c r="BV165" s="224"/>
      <c r="BW165" s="224"/>
      <c r="BX165" s="224"/>
      <c r="BY165" s="224"/>
      <c r="BZ165" s="224"/>
      <c r="CA165" s="224"/>
      <c r="CB165" s="224"/>
      <c r="CC165" s="224"/>
      <c r="CD165" s="226">
        <v>0</v>
      </c>
    </row>
    <row r="166" spans="1:82" x14ac:dyDescent="0.3">
      <c r="A166" s="221" t="str">
        <f t="shared" si="4"/>
        <v>NON ADDCross-Foundation ActivitiesMaterials Genome Initiative (MGI)Total</v>
      </c>
      <c r="B166" s="6" t="s">
        <v>223</v>
      </c>
      <c r="C166" s="6" t="s">
        <v>224</v>
      </c>
      <c r="D166" s="224" t="s">
        <v>237</v>
      </c>
      <c r="E166" s="6" t="s">
        <v>24</v>
      </c>
      <c r="F166" s="224"/>
      <c r="G166" s="224"/>
      <c r="H166" s="224"/>
      <c r="I166" s="224"/>
      <c r="J166" s="224"/>
      <c r="K166" s="224"/>
      <c r="L166" s="224"/>
      <c r="M166" s="224"/>
      <c r="N166" s="224"/>
      <c r="O166" s="224"/>
      <c r="P166" s="224"/>
      <c r="Q166" s="224"/>
      <c r="R166" s="224"/>
      <c r="S166" s="224"/>
      <c r="T166" s="224"/>
      <c r="U166" s="224"/>
      <c r="V166" s="224"/>
      <c r="W166" s="224"/>
      <c r="X166" s="224"/>
      <c r="Y166" s="224"/>
      <c r="Z166" s="225">
        <v>2</v>
      </c>
      <c r="AA166" s="225">
        <v>2</v>
      </c>
      <c r="AB166" s="224"/>
      <c r="AC166" s="224"/>
      <c r="AD166" s="224"/>
      <c r="AE166" s="224"/>
      <c r="AF166" s="224"/>
      <c r="AG166" s="224"/>
      <c r="AH166" s="224"/>
      <c r="AI166" s="224"/>
      <c r="AJ166" s="225">
        <v>0.1</v>
      </c>
      <c r="AK166" s="225">
        <v>67.349999999999994</v>
      </c>
      <c r="AL166" s="225">
        <v>1.28</v>
      </c>
      <c r="AM166" s="225">
        <v>0</v>
      </c>
      <c r="AN166" s="224"/>
      <c r="AO166" s="224"/>
      <c r="AP166" s="225">
        <v>68.73</v>
      </c>
      <c r="AQ166" s="224"/>
      <c r="AR166" s="224"/>
      <c r="AS166" s="224"/>
      <c r="AT166" s="224"/>
      <c r="AU166" s="224"/>
      <c r="AV166" s="224"/>
      <c r="AW166" s="224"/>
      <c r="AX166" s="224"/>
      <c r="AY166" s="224"/>
      <c r="AZ166" s="224"/>
      <c r="BA166" s="224"/>
      <c r="BB166" s="224"/>
      <c r="BC166" s="224"/>
      <c r="BD166" s="224"/>
      <c r="BE166" s="224"/>
      <c r="BF166" s="224"/>
      <c r="BG166" s="224"/>
      <c r="BH166" s="224"/>
      <c r="BI166" s="224"/>
      <c r="BJ166" s="225">
        <v>70.73</v>
      </c>
      <c r="BK166" s="224"/>
      <c r="BL166" s="224"/>
      <c r="BM166" s="224"/>
      <c r="BN166" s="224"/>
      <c r="BO166" s="224"/>
      <c r="BP166" s="224"/>
      <c r="BQ166" s="224"/>
      <c r="BR166" s="224"/>
      <c r="BS166" s="224"/>
      <c r="BT166" s="224"/>
      <c r="BU166" s="224"/>
      <c r="BV166" s="224"/>
      <c r="BW166" s="224"/>
      <c r="BX166" s="224"/>
      <c r="BY166" s="224"/>
      <c r="BZ166" s="224"/>
      <c r="CA166" s="224"/>
      <c r="CB166" s="224"/>
      <c r="CC166" s="224"/>
      <c r="CD166" s="226">
        <v>70.73</v>
      </c>
    </row>
    <row r="167" spans="1:82" x14ac:dyDescent="0.3">
      <c r="A167" s="221" t="str">
        <f t="shared" si="4"/>
        <v>NON ADDCross-Foundation ActivitiesMicroelectronics and SemiconductorsTotal</v>
      </c>
      <c r="B167" s="6" t="s">
        <v>223</v>
      </c>
      <c r="C167" s="6" t="s">
        <v>224</v>
      </c>
      <c r="D167" s="224" t="s">
        <v>238</v>
      </c>
      <c r="E167" s="6" t="s">
        <v>24</v>
      </c>
      <c r="F167" s="224"/>
      <c r="G167" s="224"/>
      <c r="H167" s="224"/>
      <c r="I167" s="224"/>
      <c r="J167" s="224"/>
      <c r="K167" s="225">
        <v>3</v>
      </c>
      <c r="L167" s="225">
        <v>3</v>
      </c>
      <c r="M167" s="224"/>
      <c r="N167" s="224"/>
      <c r="O167" s="224"/>
      <c r="P167" s="224"/>
      <c r="Q167" s="224"/>
      <c r="R167" s="225">
        <v>41</v>
      </c>
      <c r="S167" s="225">
        <v>41</v>
      </c>
      <c r="T167" s="224"/>
      <c r="U167" s="224"/>
      <c r="V167" s="224"/>
      <c r="W167" s="224"/>
      <c r="X167" s="224"/>
      <c r="Y167" s="224"/>
      <c r="Z167" s="225">
        <v>43</v>
      </c>
      <c r="AA167" s="225">
        <v>43</v>
      </c>
      <c r="AB167" s="224"/>
      <c r="AC167" s="224"/>
      <c r="AD167" s="224"/>
      <c r="AE167" s="224"/>
      <c r="AF167" s="224"/>
      <c r="AG167" s="224"/>
      <c r="AH167" s="224"/>
      <c r="AI167" s="224"/>
      <c r="AJ167" s="225">
        <v>13.8</v>
      </c>
      <c r="AK167" s="225">
        <v>37.159999999999997</v>
      </c>
      <c r="AL167" s="224"/>
      <c r="AM167" s="225">
        <v>0</v>
      </c>
      <c r="AN167" s="224"/>
      <c r="AO167" s="224"/>
      <c r="AP167" s="225">
        <v>50.96</v>
      </c>
      <c r="AQ167" s="224"/>
      <c r="AR167" s="224"/>
      <c r="AS167" s="224"/>
      <c r="AT167" s="224"/>
      <c r="AU167" s="224"/>
      <c r="AV167" s="224"/>
      <c r="AW167" s="224"/>
      <c r="AX167" s="224"/>
      <c r="AY167" s="225">
        <v>15</v>
      </c>
      <c r="AZ167" s="225">
        <v>15</v>
      </c>
      <c r="BA167" s="224"/>
      <c r="BB167" s="224"/>
      <c r="BC167" s="224"/>
      <c r="BD167" s="224"/>
      <c r="BE167" s="224"/>
      <c r="BF167" s="224"/>
      <c r="BG167" s="224"/>
      <c r="BH167" s="224"/>
      <c r="BI167" s="224"/>
      <c r="BJ167" s="225">
        <v>152.96</v>
      </c>
      <c r="BK167" s="224"/>
      <c r="BL167" s="224"/>
      <c r="BM167" s="224"/>
      <c r="BN167" s="224"/>
      <c r="BO167" s="224"/>
      <c r="BP167" s="224"/>
      <c r="BQ167" s="224"/>
      <c r="BR167" s="224"/>
      <c r="BS167" s="224"/>
      <c r="BT167" s="224"/>
      <c r="BU167" s="224"/>
      <c r="BV167" s="224"/>
      <c r="BW167" s="224"/>
      <c r="BX167" s="224"/>
      <c r="BY167" s="224"/>
      <c r="BZ167" s="224"/>
      <c r="CA167" s="224"/>
      <c r="CB167" s="224"/>
      <c r="CC167" s="224"/>
      <c r="CD167" s="226">
        <v>152.96</v>
      </c>
    </row>
    <row r="168" spans="1:82" x14ac:dyDescent="0.3">
      <c r="A168" s="221" t="str">
        <f t="shared" si="4"/>
        <v>NON ADDCross-Foundation ActivitiesNavigating the New Arctic (NNA) - TotalTotal</v>
      </c>
      <c r="B168" s="6" t="s">
        <v>223</v>
      </c>
      <c r="C168" s="6" t="s">
        <v>224</v>
      </c>
      <c r="D168" s="224" t="s">
        <v>239</v>
      </c>
      <c r="E168" s="6" t="s">
        <v>24</v>
      </c>
      <c r="F168" s="224"/>
      <c r="G168" s="224"/>
      <c r="H168" s="224"/>
      <c r="I168" s="224"/>
      <c r="J168" s="224"/>
      <c r="K168" s="225">
        <v>1.5</v>
      </c>
      <c r="L168" s="225">
        <v>1.5</v>
      </c>
      <c r="M168" s="224"/>
      <c r="N168" s="224"/>
      <c r="O168" s="224"/>
      <c r="P168" s="224"/>
      <c r="Q168" s="224"/>
      <c r="R168" s="224"/>
      <c r="S168" s="224"/>
      <c r="T168" s="224"/>
      <c r="U168" s="224"/>
      <c r="V168" s="224"/>
      <c r="W168" s="224"/>
      <c r="X168" s="224"/>
      <c r="Y168" s="224"/>
      <c r="Z168" s="225">
        <v>0</v>
      </c>
      <c r="AA168" s="225">
        <v>0</v>
      </c>
      <c r="AB168" s="224"/>
      <c r="AC168" s="224"/>
      <c r="AD168" s="224"/>
      <c r="AE168" s="225">
        <v>0</v>
      </c>
      <c r="AF168" s="224"/>
      <c r="AG168" s="225">
        <v>30.25</v>
      </c>
      <c r="AH168" s="225">
        <v>30.25</v>
      </c>
      <c r="AI168" s="224"/>
      <c r="AJ168" s="224"/>
      <c r="AK168" s="224"/>
      <c r="AL168" s="224"/>
      <c r="AM168" s="224"/>
      <c r="AN168" s="224"/>
      <c r="AO168" s="224"/>
      <c r="AP168" s="224"/>
      <c r="AQ168" s="224"/>
      <c r="AR168" s="224"/>
      <c r="AS168" s="224"/>
      <c r="AT168" s="224"/>
      <c r="AU168" s="225">
        <v>0.25</v>
      </c>
      <c r="AV168" s="225">
        <v>0.25</v>
      </c>
      <c r="AW168" s="224"/>
      <c r="AX168" s="224"/>
      <c r="AY168" s="224"/>
      <c r="AZ168" s="224"/>
      <c r="BA168" s="225">
        <v>0</v>
      </c>
      <c r="BB168" s="225">
        <v>0</v>
      </c>
      <c r="BC168" s="224"/>
      <c r="BD168" s="224"/>
      <c r="BE168" s="224"/>
      <c r="BF168" s="224"/>
      <c r="BG168" s="224"/>
      <c r="BH168" s="224"/>
      <c r="BI168" s="224"/>
      <c r="BJ168" s="225">
        <v>32</v>
      </c>
      <c r="BK168" s="224"/>
      <c r="BL168" s="224"/>
      <c r="BM168" s="224"/>
      <c r="BN168" s="224"/>
      <c r="BO168" s="225">
        <v>0.2</v>
      </c>
      <c r="BP168" s="225">
        <v>0.2</v>
      </c>
      <c r="BQ168" s="225">
        <v>0.2</v>
      </c>
      <c r="BR168" s="224"/>
      <c r="BS168" s="224"/>
      <c r="BT168" s="224"/>
      <c r="BU168" s="224"/>
      <c r="BV168" s="224"/>
      <c r="BW168" s="224"/>
      <c r="BX168" s="224"/>
      <c r="BY168" s="224"/>
      <c r="BZ168" s="224"/>
      <c r="CA168" s="224"/>
      <c r="CB168" s="224"/>
      <c r="CC168" s="224"/>
      <c r="CD168" s="226">
        <v>32.200000000000003</v>
      </c>
    </row>
    <row r="169" spans="1:82" x14ac:dyDescent="0.3">
      <c r="A169" s="221" t="str">
        <f t="shared" si="4"/>
        <v>NON ADDCross-Foundation ActivitiesQuantum Information Sciences (QIS)Total</v>
      </c>
      <c r="B169" s="6" t="s">
        <v>223</v>
      </c>
      <c r="C169" s="6" t="s">
        <v>224</v>
      </c>
      <c r="D169" s="224" t="s">
        <v>240</v>
      </c>
      <c r="E169" s="6" t="s">
        <v>24</v>
      </c>
      <c r="F169" s="224"/>
      <c r="G169" s="224"/>
      <c r="H169" s="224"/>
      <c r="I169" s="224"/>
      <c r="J169" s="224"/>
      <c r="K169" s="225">
        <v>3.28</v>
      </c>
      <c r="L169" s="225">
        <v>3.28</v>
      </c>
      <c r="M169" s="224"/>
      <c r="N169" s="224"/>
      <c r="O169" s="224"/>
      <c r="P169" s="224"/>
      <c r="Q169" s="224"/>
      <c r="R169" s="224"/>
      <c r="S169" s="224"/>
      <c r="T169" s="224"/>
      <c r="U169" s="224"/>
      <c r="V169" s="224"/>
      <c r="W169" s="224"/>
      <c r="X169" s="224"/>
      <c r="Y169" s="224"/>
      <c r="Z169" s="225">
        <v>31.17</v>
      </c>
      <c r="AA169" s="225">
        <v>31.17</v>
      </c>
      <c r="AB169" s="224"/>
      <c r="AC169" s="224"/>
      <c r="AD169" s="224"/>
      <c r="AE169" s="224"/>
      <c r="AF169" s="224"/>
      <c r="AG169" s="224"/>
      <c r="AH169" s="224"/>
      <c r="AI169" s="224"/>
      <c r="AJ169" s="225">
        <v>17.38</v>
      </c>
      <c r="AK169" s="225">
        <v>116.44</v>
      </c>
      <c r="AL169" s="225">
        <v>0</v>
      </c>
      <c r="AM169" s="225">
        <v>64.400000000000006</v>
      </c>
      <c r="AN169" s="225">
        <v>31.65</v>
      </c>
      <c r="AO169" s="225">
        <v>0</v>
      </c>
      <c r="AP169" s="225">
        <v>229.87</v>
      </c>
      <c r="AQ169" s="224"/>
      <c r="AR169" s="224"/>
      <c r="AS169" s="224"/>
      <c r="AT169" s="224"/>
      <c r="AU169" s="224"/>
      <c r="AV169" s="224"/>
      <c r="AW169" s="224"/>
      <c r="AX169" s="224"/>
      <c r="AY169" s="225">
        <v>25</v>
      </c>
      <c r="AZ169" s="225">
        <v>25</v>
      </c>
      <c r="BA169" s="225">
        <v>0</v>
      </c>
      <c r="BB169" s="225">
        <v>0</v>
      </c>
      <c r="BC169" s="224"/>
      <c r="BD169" s="224"/>
      <c r="BE169" s="224"/>
      <c r="BF169" s="224"/>
      <c r="BG169" s="224"/>
      <c r="BH169" s="224"/>
      <c r="BI169" s="224"/>
      <c r="BJ169" s="225">
        <v>289.32</v>
      </c>
      <c r="BK169" s="225">
        <v>6.98</v>
      </c>
      <c r="BL169" s="225">
        <v>0.75</v>
      </c>
      <c r="BM169" s="225">
        <v>2.8</v>
      </c>
      <c r="BN169" s="225">
        <v>3.55</v>
      </c>
      <c r="BO169" s="224"/>
      <c r="BP169" s="225">
        <v>14.08</v>
      </c>
      <c r="BQ169" s="225">
        <v>14.08</v>
      </c>
      <c r="BR169" s="224"/>
      <c r="BS169" s="224"/>
      <c r="BT169" s="224"/>
      <c r="BU169" s="224"/>
      <c r="BV169" s="224"/>
      <c r="BW169" s="224"/>
      <c r="BX169" s="224"/>
      <c r="BY169" s="224"/>
      <c r="BZ169" s="224"/>
      <c r="CA169" s="224"/>
      <c r="CB169" s="224"/>
      <c r="CC169" s="224"/>
      <c r="CD169" s="226">
        <v>303.39999999999998</v>
      </c>
    </row>
    <row r="170" spans="1:82" x14ac:dyDescent="0.3">
      <c r="A170" s="221" t="str">
        <f t="shared" si="4"/>
        <v>NON ADDCross-Foundation ActivitiesRisk and ResilienceTotal</v>
      </c>
      <c r="B170" s="6" t="s">
        <v>223</v>
      </c>
      <c r="C170" s="6" t="s">
        <v>224</v>
      </c>
      <c r="D170" s="224" t="s">
        <v>241</v>
      </c>
      <c r="E170" s="6" t="s">
        <v>24</v>
      </c>
      <c r="F170" s="224"/>
      <c r="G170" s="224"/>
      <c r="H170" s="224"/>
      <c r="I170" s="224"/>
      <c r="J170" s="224"/>
      <c r="K170" s="224"/>
      <c r="L170" s="224"/>
      <c r="M170" s="224"/>
      <c r="N170" s="224"/>
      <c r="O170" s="224"/>
      <c r="P170" s="224"/>
      <c r="Q170" s="224"/>
      <c r="R170" s="224"/>
      <c r="S170" s="224"/>
      <c r="T170" s="224"/>
      <c r="U170" s="224"/>
      <c r="V170" s="224"/>
      <c r="W170" s="224"/>
      <c r="X170" s="225">
        <v>0</v>
      </c>
      <c r="Y170" s="224"/>
      <c r="Z170" s="225">
        <v>0</v>
      </c>
      <c r="AA170" s="225">
        <v>0</v>
      </c>
      <c r="AB170" s="224"/>
      <c r="AC170" s="224"/>
      <c r="AD170" s="224"/>
      <c r="AE170" s="225">
        <v>0</v>
      </c>
      <c r="AF170" s="225">
        <v>0</v>
      </c>
      <c r="AG170" s="224"/>
      <c r="AH170" s="225">
        <v>0</v>
      </c>
      <c r="AI170" s="225">
        <v>0</v>
      </c>
      <c r="AJ170" s="225">
        <v>0</v>
      </c>
      <c r="AK170" s="224"/>
      <c r="AL170" s="225">
        <v>0.79</v>
      </c>
      <c r="AM170" s="224"/>
      <c r="AN170" s="224"/>
      <c r="AO170" s="224"/>
      <c r="AP170" s="225">
        <v>0.79</v>
      </c>
      <c r="AQ170" s="225">
        <v>0</v>
      </c>
      <c r="AR170" s="224"/>
      <c r="AS170" s="224"/>
      <c r="AT170" s="225">
        <v>0</v>
      </c>
      <c r="AU170" s="225">
        <v>0</v>
      </c>
      <c r="AV170" s="225">
        <v>0</v>
      </c>
      <c r="AW170" s="224"/>
      <c r="AX170" s="224"/>
      <c r="AY170" s="224"/>
      <c r="AZ170" s="224"/>
      <c r="BA170" s="224"/>
      <c r="BB170" s="224"/>
      <c r="BC170" s="224"/>
      <c r="BD170" s="224"/>
      <c r="BE170" s="224"/>
      <c r="BF170" s="224"/>
      <c r="BG170" s="224"/>
      <c r="BH170" s="224"/>
      <c r="BI170" s="224"/>
      <c r="BJ170" s="225">
        <v>0.79</v>
      </c>
      <c r="BK170" s="224"/>
      <c r="BL170" s="224"/>
      <c r="BM170" s="224"/>
      <c r="BN170" s="224"/>
      <c r="BO170" s="224"/>
      <c r="BP170" s="224"/>
      <c r="BQ170" s="224"/>
      <c r="BR170" s="224"/>
      <c r="BS170" s="224"/>
      <c r="BT170" s="224"/>
      <c r="BU170" s="224"/>
      <c r="BV170" s="224"/>
      <c r="BW170" s="224"/>
      <c r="BX170" s="224"/>
      <c r="BY170" s="224"/>
      <c r="BZ170" s="224"/>
      <c r="CA170" s="224"/>
      <c r="CB170" s="224"/>
      <c r="CC170" s="224"/>
      <c r="CD170" s="226">
        <v>0.79</v>
      </c>
    </row>
    <row r="171" spans="1:82" x14ac:dyDescent="0.3">
      <c r="A171" s="221" t="str">
        <f t="shared" si="4"/>
        <v>NON ADDCross-Foundation ActivitiesSecure and Trustworthy Cyberspace (SaTC)Total</v>
      </c>
      <c r="B171" s="6" t="s">
        <v>223</v>
      </c>
      <c r="C171" s="6" t="s">
        <v>224</v>
      </c>
      <c r="D171" s="224" t="s">
        <v>242</v>
      </c>
      <c r="E171" s="6" t="s">
        <v>24</v>
      </c>
      <c r="F171" s="224"/>
      <c r="G171" s="224"/>
      <c r="H171" s="224"/>
      <c r="I171" s="224"/>
      <c r="J171" s="224"/>
      <c r="K171" s="224"/>
      <c r="L171" s="224"/>
      <c r="M171" s="224"/>
      <c r="N171" s="224"/>
      <c r="O171" s="224"/>
      <c r="P171" s="224"/>
      <c r="Q171" s="224"/>
      <c r="R171" s="225">
        <v>73.528000000000006</v>
      </c>
      <c r="S171" s="225">
        <v>73.528000000000006</v>
      </c>
      <c r="T171" s="224"/>
      <c r="U171" s="224"/>
      <c r="V171" s="224"/>
      <c r="W171" s="224"/>
      <c r="X171" s="224"/>
      <c r="Y171" s="224"/>
      <c r="Z171" s="225">
        <v>3.25</v>
      </c>
      <c r="AA171" s="225">
        <v>3.25</v>
      </c>
      <c r="AB171" s="224"/>
      <c r="AC171" s="224"/>
      <c r="AD171" s="224"/>
      <c r="AE171" s="224"/>
      <c r="AF171" s="224"/>
      <c r="AG171" s="224"/>
      <c r="AH171" s="224"/>
      <c r="AI171" s="224"/>
      <c r="AJ171" s="224"/>
      <c r="AK171" s="224"/>
      <c r="AL171" s="225">
        <v>1.27</v>
      </c>
      <c r="AM171" s="224"/>
      <c r="AN171" s="224"/>
      <c r="AO171" s="224"/>
      <c r="AP171" s="225">
        <v>1.27</v>
      </c>
      <c r="AQ171" s="225">
        <v>0</v>
      </c>
      <c r="AR171" s="224"/>
      <c r="AS171" s="225">
        <v>0</v>
      </c>
      <c r="AT171" s="225">
        <v>0</v>
      </c>
      <c r="AU171" s="225">
        <v>4</v>
      </c>
      <c r="AV171" s="225">
        <v>4</v>
      </c>
      <c r="AW171" s="224"/>
      <c r="AX171" s="224"/>
      <c r="AY171" s="224"/>
      <c r="AZ171" s="224"/>
      <c r="BA171" s="224"/>
      <c r="BB171" s="224"/>
      <c r="BC171" s="224"/>
      <c r="BD171" s="224"/>
      <c r="BE171" s="224"/>
      <c r="BF171" s="224"/>
      <c r="BG171" s="224"/>
      <c r="BH171" s="224"/>
      <c r="BI171" s="224"/>
      <c r="BJ171" s="225">
        <v>82.048000000000002</v>
      </c>
      <c r="BK171" s="225">
        <v>63</v>
      </c>
      <c r="BL171" s="224"/>
      <c r="BM171" s="224"/>
      <c r="BN171" s="224"/>
      <c r="BO171" s="224"/>
      <c r="BP171" s="225">
        <v>63</v>
      </c>
      <c r="BQ171" s="225">
        <v>63</v>
      </c>
      <c r="BR171" s="224"/>
      <c r="BS171" s="224"/>
      <c r="BT171" s="224"/>
      <c r="BU171" s="224"/>
      <c r="BV171" s="224"/>
      <c r="BW171" s="224"/>
      <c r="BX171" s="224"/>
      <c r="BY171" s="224"/>
      <c r="BZ171" s="224"/>
      <c r="CA171" s="224"/>
      <c r="CB171" s="224"/>
      <c r="CC171" s="224"/>
      <c r="CD171" s="226">
        <v>145.048</v>
      </c>
    </row>
    <row r="172" spans="1:82" x14ac:dyDescent="0.3">
      <c r="A172" s="221" t="str">
        <f t="shared" si="4"/>
        <v>NON ADDCross-Foundation ActivitiesThe Future of Work at the Human-Technology Frontier (FW-HTF) - TotalTotal</v>
      </c>
      <c r="B172" s="6" t="s">
        <v>223</v>
      </c>
      <c r="C172" s="6" t="s">
        <v>224</v>
      </c>
      <c r="D172" s="224" t="s">
        <v>243</v>
      </c>
      <c r="E172" s="6" t="s">
        <v>24</v>
      </c>
      <c r="F172" s="224"/>
      <c r="G172" s="224"/>
      <c r="H172" s="224"/>
      <c r="I172" s="224"/>
      <c r="J172" s="224"/>
      <c r="K172" s="224"/>
      <c r="L172" s="224"/>
      <c r="M172" s="224"/>
      <c r="N172" s="224"/>
      <c r="O172" s="224"/>
      <c r="P172" s="224"/>
      <c r="Q172" s="224"/>
      <c r="R172" s="225">
        <v>88.352000000000004</v>
      </c>
      <c r="S172" s="225">
        <v>88.352000000000004</v>
      </c>
      <c r="T172" s="224"/>
      <c r="U172" s="224"/>
      <c r="V172" s="224"/>
      <c r="W172" s="224"/>
      <c r="X172" s="224"/>
      <c r="Y172" s="224"/>
      <c r="Z172" s="225">
        <v>42</v>
      </c>
      <c r="AA172" s="225">
        <v>42</v>
      </c>
      <c r="AB172" s="224"/>
      <c r="AC172" s="224"/>
      <c r="AD172" s="224"/>
      <c r="AE172" s="224"/>
      <c r="AF172" s="224"/>
      <c r="AG172" s="224"/>
      <c r="AH172" s="224"/>
      <c r="AI172" s="224"/>
      <c r="AJ172" s="224"/>
      <c r="AK172" s="224"/>
      <c r="AL172" s="224"/>
      <c r="AM172" s="224"/>
      <c r="AN172" s="224"/>
      <c r="AO172" s="225">
        <v>0</v>
      </c>
      <c r="AP172" s="225">
        <v>0</v>
      </c>
      <c r="AQ172" s="224"/>
      <c r="AR172" s="224"/>
      <c r="AS172" s="224"/>
      <c r="AT172" s="224"/>
      <c r="AU172" s="225">
        <v>11.83</v>
      </c>
      <c r="AV172" s="225">
        <v>11.83</v>
      </c>
      <c r="AW172" s="224"/>
      <c r="AX172" s="224"/>
      <c r="AY172" s="225">
        <v>18.899999999999999</v>
      </c>
      <c r="AZ172" s="225">
        <v>18.899999999999999</v>
      </c>
      <c r="BA172" s="224"/>
      <c r="BB172" s="224"/>
      <c r="BC172" s="224"/>
      <c r="BD172" s="225">
        <v>0</v>
      </c>
      <c r="BE172" s="225">
        <v>0</v>
      </c>
      <c r="BF172" s="224"/>
      <c r="BG172" s="224"/>
      <c r="BH172" s="224"/>
      <c r="BI172" s="224"/>
      <c r="BJ172" s="225">
        <v>161.08199999999999</v>
      </c>
      <c r="BK172" s="225">
        <v>6.84</v>
      </c>
      <c r="BL172" s="225">
        <v>2.89</v>
      </c>
      <c r="BM172" s="225">
        <v>3.5</v>
      </c>
      <c r="BN172" s="224"/>
      <c r="BO172" s="224"/>
      <c r="BP172" s="225">
        <v>13.23</v>
      </c>
      <c r="BQ172" s="225">
        <v>13.23</v>
      </c>
      <c r="BR172" s="224"/>
      <c r="BS172" s="224"/>
      <c r="BT172" s="224"/>
      <c r="BU172" s="224"/>
      <c r="BV172" s="224"/>
      <c r="BW172" s="224"/>
      <c r="BX172" s="224"/>
      <c r="BY172" s="224"/>
      <c r="BZ172" s="224"/>
      <c r="CA172" s="224"/>
      <c r="CB172" s="224"/>
      <c r="CC172" s="224"/>
      <c r="CD172" s="226">
        <v>174.31200000000001</v>
      </c>
    </row>
    <row r="173" spans="1:82" x14ac:dyDescent="0.3">
      <c r="A173" s="221" t="str">
        <f t="shared" si="4"/>
        <v>NON ADDCross-Foundation ActivitiesThe Quantum Leap (QL) - TotalTotal</v>
      </c>
      <c r="B173" s="6" t="s">
        <v>223</v>
      </c>
      <c r="C173" s="6" t="s">
        <v>224</v>
      </c>
      <c r="D173" s="224" t="s">
        <v>244</v>
      </c>
      <c r="E173" s="6" t="s">
        <v>24</v>
      </c>
      <c r="F173" s="224"/>
      <c r="G173" s="224"/>
      <c r="H173" s="224"/>
      <c r="I173" s="224"/>
      <c r="J173" s="224"/>
      <c r="K173" s="225">
        <v>1</v>
      </c>
      <c r="L173" s="225">
        <v>1</v>
      </c>
      <c r="M173" s="224"/>
      <c r="N173" s="224"/>
      <c r="O173" s="224"/>
      <c r="P173" s="224"/>
      <c r="Q173" s="224"/>
      <c r="R173" s="224"/>
      <c r="S173" s="224"/>
      <c r="T173" s="224"/>
      <c r="U173" s="224"/>
      <c r="V173" s="224"/>
      <c r="W173" s="224"/>
      <c r="X173" s="224"/>
      <c r="Y173" s="224"/>
      <c r="Z173" s="225">
        <v>1.6</v>
      </c>
      <c r="AA173" s="225">
        <v>1.6</v>
      </c>
      <c r="AB173" s="224"/>
      <c r="AC173" s="224"/>
      <c r="AD173" s="224"/>
      <c r="AE173" s="224"/>
      <c r="AF173" s="224"/>
      <c r="AG173" s="224"/>
      <c r="AH173" s="224"/>
      <c r="AI173" s="224"/>
      <c r="AJ173" s="225">
        <v>0</v>
      </c>
      <c r="AK173" s="225">
        <v>0</v>
      </c>
      <c r="AL173" s="225">
        <v>0</v>
      </c>
      <c r="AM173" s="224"/>
      <c r="AN173" s="225">
        <v>0</v>
      </c>
      <c r="AO173" s="225">
        <v>0</v>
      </c>
      <c r="AP173" s="225">
        <v>0</v>
      </c>
      <c r="AQ173" s="224"/>
      <c r="AR173" s="224"/>
      <c r="AS173" s="224"/>
      <c r="AT173" s="224"/>
      <c r="AU173" s="224"/>
      <c r="AV173" s="224"/>
      <c r="AW173" s="224"/>
      <c r="AX173" s="224"/>
      <c r="AY173" s="224"/>
      <c r="AZ173" s="224"/>
      <c r="BA173" s="225">
        <v>0</v>
      </c>
      <c r="BB173" s="225">
        <v>0</v>
      </c>
      <c r="BC173" s="224"/>
      <c r="BD173" s="224"/>
      <c r="BE173" s="224"/>
      <c r="BF173" s="224"/>
      <c r="BG173" s="224"/>
      <c r="BH173" s="224"/>
      <c r="BI173" s="224"/>
      <c r="BJ173" s="225">
        <v>2.6</v>
      </c>
      <c r="BK173" s="224"/>
      <c r="BL173" s="224"/>
      <c r="BM173" s="224"/>
      <c r="BN173" s="224"/>
      <c r="BO173" s="224"/>
      <c r="BP173" s="224"/>
      <c r="BQ173" s="224"/>
      <c r="BR173" s="224"/>
      <c r="BS173" s="224"/>
      <c r="BT173" s="224"/>
      <c r="BU173" s="224"/>
      <c r="BV173" s="224"/>
      <c r="BW173" s="224"/>
      <c r="BX173" s="224"/>
      <c r="BY173" s="224"/>
      <c r="BZ173" s="224"/>
      <c r="CA173" s="224"/>
      <c r="CB173" s="224"/>
      <c r="CC173" s="224"/>
      <c r="CD173" s="226">
        <v>2.6</v>
      </c>
    </row>
    <row r="174" spans="1:82" x14ac:dyDescent="0.3">
      <c r="A174" s="221" t="str">
        <f t="shared" si="4"/>
        <v>NON ADDCross-Foundation ActivitiesUnderstanding the Brain (UtB)Total</v>
      </c>
      <c r="B174" s="6" t="s">
        <v>223</v>
      </c>
      <c r="C174" s="6" t="s">
        <v>224</v>
      </c>
      <c r="D174" s="224" t="s">
        <v>245</v>
      </c>
      <c r="E174" s="6" t="s">
        <v>24</v>
      </c>
      <c r="F174" s="224"/>
      <c r="G174" s="224"/>
      <c r="H174" s="224"/>
      <c r="I174" s="224"/>
      <c r="J174" s="224"/>
      <c r="K174" s="225">
        <v>0</v>
      </c>
      <c r="L174" s="225">
        <v>0</v>
      </c>
      <c r="M174" s="224"/>
      <c r="N174" s="224"/>
      <c r="O174" s="224"/>
      <c r="P174" s="224"/>
      <c r="Q174" s="224"/>
      <c r="R174" s="224"/>
      <c r="S174" s="224"/>
      <c r="T174" s="224"/>
      <c r="U174" s="224"/>
      <c r="V174" s="224"/>
      <c r="W174" s="224"/>
      <c r="X174" s="224"/>
      <c r="Y174" s="224"/>
      <c r="Z174" s="225">
        <v>0</v>
      </c>
      <c r="AA174" s="225">
        <v>0</v>
      </c>
      <c r="AB174" s="224"/>
      <c r="AC174" s="224"/>
      <c r="AD174" s="224"/>
      <c r="AE174" s="224"/>
      <c r="AF174" s="224"/>
      <c r="AG174" s="224"/>
      <c r="AH174" s="224"/>
      <c r="AI174" s="224"/>
      <c r="AJ174" s="225">
        <v>0</v>
      </c>
      <c r="AK174" s="225">
        <v>0</v>
      </c>
      <c r="AL174" s="224"/>
      <c r="AM174" s="225">
        <v>0</v>
      </c>
      <c r="AN174" s="225">
        <v>0</v>
      </c>
      <c r="AO174" s="224"/>
      <c r="AP174" s="225">
        <v>0</v>
      </c>
      <c r="AQ174" s="225">
        <v>0</v>
      </c>
      <c r="AR174" s="224"/>
      <c r="AS174" s="225">
        <v>0</v>
      </c>
      <c r="AT174" s="224"/>
      <c r="AU174" s="224"/>
      <c r="AV174" s="225">
        <v>0</v>
      </c>
      <c r="AW174" s="224"/>
      <c r="AX174" s="224"/>
      <c r="AY174" s="224"/>
      <c r="AZ174" s="224"/>
      <c r="BA174" s="225">
        <v>0</v>
      </c>
      <c r="BB174" s="225">
        <v>0</v>
      </c>
      <c r="BC174" s="224"/>
      <c r="BD174" s="224"/>
      <c r="BE174" s="224"/>
      <c r="BF174" s="224"/>
      <c r="BG174" s="224"/>
      <c r="BH174" s="224"/>
      <c r="BI174" s="224"/>
      <c r="BJ174" s="225">
        <v>0</v>
      </c>
      <c r="BK174" s="225">
        <v>0</v>
      </c>
      <c r="BL174" s="225">
        <v>0</v>
      </c>
      <c r="BM174" s="225">
        <v>0</v>
      </c>
      <c r="BN174" s="224"/>
      <c r="BO174" s="224"/>
      <c r="BP174" s="225">
        <v>0</v>
      </c>
      <c r="BQ174" s="225">
        <v>0</v>
      </c>
      <c r="BR174" s="224"/>
      <c r="BS174" s="224"/>
      <c r="BT174" s="224"/>
      <c r="BU174" s="224"/>
      <c r="BV174" s="224"/>
      <c r="BW174" s="224"/>
      <c r="BX174" s="224"/>
      <c r="BY174" s="224"/>
      <c r="BZ174" s="224"/>
      <c r="CA174" s="224"/>
      <c r="CB174" s="224"/>
      <c r="CC174" s="224"/>
      <c r="CD174" s="226">
        <v>0</v>
      </c>
    </row>
    <row r="175" spans="1:82" x14ac:dyDescent="0.3">
      <c r="A175" s="221" t="str">
        <f t="shared" si="4"/>
        <v>NON ADDCross-Foundation ActivitiesUnderstanding the Rules of Life (URoL) - TotalTotal</v>
      </c>
      <c r="B175" s="6" t="s">
        <v>223</v>
      </c>
      <c r="C175" s="6" t="s">
        <v>224</v>
      </c>
      <c r="D175" s="224" t="s">
        <v>246</v>
      </c>
      <c r="E175" s="6" t="s">
        <v>24</v>
      </c>
      <c r="F175" s="224"/>
      <c r="G175" s="224"/>
      <c r="H175" s="224"/>
      <c r="I175" s="224"/>
      <c r="J175" s="224"/>
      <c r="K175" s="225">
        <v>48.76</v>
      </c>
      <c r="L175" s="225">
        <v>48.76</v>
      </c>
      <c r="M175" s="224"/>
      <c r="N175" s="224"/>
      <c r="O175" s="224"/>
      <c r="P175" s="224"/>
      <c r="Q175" s="224"/>
      <c r="R175" s="225">
        <v>9.6509999999999998</v>
      </c>
      <c r="S175" s="225">
        <v>9.6509999999999998</v>
      </c>
      <c r="T175" s="224"/>
      <c r="U175" s="224"/>
      <c r="V175" s="224"/>
      <c r="W175" s="224"/>
      <c r="X175" s="224"/>
      <c r="Y175" s="224"/>
      <c r="Z175" s="225">
        <v>3</v>
      </c>
      <c r="AA175" s="225">
        <v>3</v>
      </c>
      <c r="AB175" s="224"/>
      <c r="AC175" s="224"/>
      <c r="AD175" s="225">
        <v>4</v>
      </c>
      <c r="AE175" s="224"/>
      <c r="AF175" s="224"/>
      <c r="AG175" s="225">
        <v>0</v>
      </c>
      <c r="AH175" s="225">
        <v>4</v>
      </c>
      <c r="AI175" s="224"/>
      <c r="AJ175" s="225">
        <v>10.4</v>
      </c>
      <c r="AK175" s="225">
        <v>5.85</v>
      </c>
      <c r="AL175" s="225">
        <v>13.9</v>
      </c>
      <c r="AM175" s="224"/>
      <c r="AN175" s="225">
        <v>1.1000000000000001</v>
      </c>
      <c r="AO175" s="225">
        <v>0</v>
      </c>
      <c r="AP175" s="225">
        <v>31.25</v>
      </c>
      <c r="AQ175" s="224"/>
      <c r="AR175" s="224"/>
      <c r="AS175" s="224"/>
      <c r="AT175" s="224"/>
      <c r="AU175" s="225">
        <v>4.8099999999999996</v>
      </c>
      <c r="AV175" s="225">
        <v>4.8099999999999996</v>
      </c>
      <c r="AW175" s="224"/>
      <c r="AX175" s="224"/>
      <c r="AY175" s="224"/>
      <c r="AZ175" s="224"/>
      <c r="BA175" s="224"/>
      <c r="BB175" s="224"/>
      <c r="BC175" s="224"/>
      <c r="BD175" s="224"/>
      <c r="BE175" s="224"/>
      <c r="BF175" s="224"/>
      <c r="BG175" s="224"/>
      <c r="BH175" s="224"/>
      <c r="BI175" s="224"/>
      <c r="BJ175" s="225">
        <v>101.471</v>
      </c>
      <c r="BK175" s="224"/>
      <c r="BL175" s="224"/>
      <c r="BM175" s="224"/>
      <c r="BN175" s="224"/>
      <c r="BO175" s="224"/>
      <c r="BP175" s="224"/>
      <c r="BQ175" s="224"/>
      <c r="BR175" s="224"/>
      <c r="BS175" s="224"/>
      <c r="BT175" s="224"/>
      <c r="BU175" s="224"/>
      <c r="BV175" s="224"/>
      <c r="BW175" s="224"/>
      <c r="BX175" s="224"/>
      <c r="BY175" s="224"/>
      <c r="BZ175" s="224"/>
      <c r="CA175" s="224"/>
      <c r="CB175" s="224"/>
      <c r="CC175" s="224"/>
      <c r="CD175" s="226">
        <v>101.471</v>
      </c>
    </row>
    <row r="176" spans="1:82" x14ac:dyDescent="0.3">
      <c r="A176" s="221" t="str">
        <f t="shared" si="4"/>
        <v>NON ADDCross-Foundation ActivitiesWindows on the Universe (WoU) - TotalTotal</v>
      </c>
      <c r="B176" s="6" t="s">
        <v>223</v>
      </c>
      <c r="C176" s="6" t="s">
        <v>224</v>
      </c>
      <c r="D176" s="224" t="s">
        <v>247</v>
      </c>
      <c r="E176" s="6" t="s">
        <v>24</v>
      </c>
      <c r="F176" s="224"/>
      <c r="G176" s="224"/>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5">
        <v>3</v>
      </c>
      <c r="AF176" s="224"/>
      <c r="AG176" s="224"/>
      <c r="AH176" s="225">
        <v>3</v>
      </c>
      <c r="AI176" s="225">
        <v>3.51</v>
      </c>
      <c r="AJ176" s="224"/>
      <c r="AK176" s="224"/>
      <c r="AL176" s="224"/>
      <c r="AM176" s="225">
        <v>30</v>
      </c>
      <c r="AN176" s="225">
        <v>52.4</v>
      </c>
      <c r="AO176" s="225">
        <v>0</v>
      </c>
      <c r="AP176" s="225">
        <v>85.91</v>
      </c>
      <c r="AQ176" s="224"/>
      <c r="AR176" s="224"/>
      <c r="AS176" s="224"/>
      <c r="AT176" s="224"/>
      <c r="AU176" s="224"/>
      <c r="AV176" s="224"/>
      <c r="AW176" s="224"/>
      <c r="AX176" s="224"/>
      <c r="AY176" s="224"/>
      <c r="AZ176" s="224"/>
      <c r="BA176" s="224"/>
      <c r="BB176" s="224"/>
      <c r="BC176" s="224"/>
      <c r="BD176" s="224"/>
      <c r="BE176" s="224"/>
      <c r="BF176" s="224"/>
      <c r="BG176" s="224"/>
      <c r="BH176" s="224"/>
      <c r="BI176" s="224"/>
      <c r="BJ176" s="225">
        <v>88.91</v>
      </c>
      <c r="BK176" s="224"/>
      <c r="BL176" s="224"/>
      <c r="BM176" s="224"/>
      <c r="BN176" s="224"/>
      <c r="BO176" s="224"/>
      <c r="BP176" s="224"/>
      <c r="BQ176" s="224"/>
      <c r="BR176" s="224"/>
      <c r="BS176" s="224"/>
      <c r="BT176" s="224"/>
      <c r="BU176" s="224"/>
      <c r="BV176" s="224"/>
      <c r="BW176" s="224"/>
      <c r="BX176" s="224"/>
      <c r="BY176" s="224"/>
      <c r="BZ176" s="224"/>
      <c r="CA176" s="224"/>
      <c r="CB176" s="224"/>
      <c r="CC176" s="224"/>
      <c r="CD176" s="226">
        <v>88.91</v>
      </c>
    </row>
    <row r="177" spans="1:82" x14ac:dyDescent="0.3">
      <c r="A177" s="221" t="str">
        <f t="shared" si="4"/>
        <v>NON ADDHomeland Security ActivitiesTotalTotal</v>
      </c>
      <c r="B177" s="6" t="s">
        <v>223</v>
      </c>
      <c r="C177" s="6" t="s">
        <v>248</v>
      </c>
      <c r="D177" s="6" t="s">
        <v>24</v>
      </c>
      <c r="E177" s="6" t="s">
        <v>24</v>
      </c>
      <c r="F177" s="224"/>
      <c r="G177" s="224"/>
      <c r="H177" s="224"/>
      <c r="I177" s="224"/>
      <c r="J177" s="224"/>
      <c r="K177" s="225">
        <v>16</v>
      </c>
      <c r="L177" s="225">
        <v>16</v>
      </c>
      <c r="M177" s="224"/>
      <c r="N177" s="224"/>
      <c r="O177" s="224"/>
      <c r="P177" s="224"/>
      <c r="Q177" s="224"/>
      <c r="R177" s="225">
        <v>188.67</v>
      </c>
      <c r="S177" s="225">
        <v>188.67</v>
      </c>
      <c r="T177" s="224"/>
      <c r="U177" s="224"/>
      <c r="V177" s="224"/>
      <c r="W177" s="224"/>
      <c r="X177" s="224"/>
      <c r="Y177" s="224"/>
      <c r="Z177" s="225">
        <v>136.19999999999999</v>
      </c>
      <c r="AA177" s="225">
        <v>136.19999999999999</v>
      </c>
      <c r="AB177" s="224"/>
      <c r="AC177" s="224"/>
      <c r="AD177" s="224"/>
      <c r="AE177" s="225">
        <v>10.29</v>
      </c>
      <c r="AF177" s="224"/>
      <c r="AG177" s="224"/>
      <c r="AH177" s="225">
        <v>10.29</v>
      </c>
      <c r="AI177" s="224"/>
      <c r="AJ177" s="225">
        <v>0</v>
      </c>
      <c r="AK177" s="224"/>
      <c r="AL177" s="225">
        <v>2.02</v>
      </c>
      <c r="AM177" s="224"/>
      <c r="AN177" s="224"/>
      <c r="AO177" s="224"/>
      <c r="AP177" s="225">
        <v>2.02</v>
      </c>
      <c r="AQ177" s="225">
        <v>0</v>
      </c>
      <c r="AR177" s="224"/>
      <c r="AS177" s="225">
        <v>0</v>
      </c>
      <c r="AT177" s="225">
        <v>0</v>
      </c>
      <c r="AU177" s="225">
        <v>8.77</v>
      </c>
      <c r="AV177" s="225">
        <v>8.77</v>
      </c>
      <c r="AW177" s="224"/>
      <c r="AX177" s="224"/>
      <c r="AY177" s="225">
        <v>17.5</v>
      </c>
      <c r="AZ177" s="225">
        <v>17.5</v>
      </c>
      <c r="BA177" s="224"/>
      <c r="BB177" s="224"/>
      <c r="BC177" s="224"/>
      <c r="BD177" s="225">
        <v>5.53</v>
      </c>
      <c r="BE177" s="225">
        <v>5.53</v>
      </c>
      <c r="BF177" s="224"/>
      <c r="BG177" s="224"/>
      <c r="BH177" s="224"/>
      <c r="BI177" s="224"/>
      <c r="BJ177" s="225">
        <v>384.98</v>
      </c>
      <c r="BK177" s="225">
        <v>63</v>
      </c>
      <c r="BL177" s="224"/>
      <c r="BM177" s="224"/>
      <c r="BN177" s="224"/>
      <c r="BO177" s="224"/>
      <c r="BP177" s="225">
        <v>63</v>
      </c>
      <c r="BQ177" s="225">
        <v>63</v>
      </c>
      <c r="BR177" s="224"/>
      <c r="BS177" s="224"/>
      <c r="BT177" s="224"/>
      <c r="BU177" s="224"/>
      <c r="BV177" s="224"/>
      <c r="BW177" s="224"/>
      <c r="BX177" s="224"/>
      <c r="BY177" s="224"/>
      <c r="BZ177" s="224"/>
      <c r="CA177" s="224"/>
      <c r="CB177" s="224"/>
      <c r="CC177" s="224"/>
      <c r="CD177" s="226">
        <v>447.98</v>
      </c>
    </row>
    <row r="178" spans="1:82" x14ac:dyDescent="0.3">
      <c r="A178" s="221" t="str">
        <f t="shared" si="4"/>
        <v>NON ADDHomeland Security ActivitiesDefending Against Catastrophic ThreatsTotal</v>
      </c>
      <c r="B178" s="6" t="s">
        <v>223</v>
      </c>
      <c r="C178" s="6" t="s">
        <v>248</v>
      </c>
      <c r="D178" s="224" t="s">
        <v>249</v>
      </c>
      <c r="E178" s="6" t="s">
        <v>24</v>
      </c>
      <c r="F178" s="224"/>
      <c r="G178" s="224"/>
      <c r="H178" s="224"/>
      <c r="I178" s="224"/>
      <c r="J178" s="224"/>
      <c r="K178" s="225">
        <v>16</v>
      </c>
      <c r="L178" s="225">
        <v>16</v>
      </c>
      <c r="M178" s="224"/>
      <c r="N178" s="224"/>
      <c r="O178" s="224"/>
      <c r="P178" s="224"/>
      <c r="Q178" s="224"/>
      <c r="R178" s="224"/>
      <c r="S178" s="224"/>
      <c r="T178" s="224"/>
      <c r="U178" s="224"/>
      <c r="V178" s="224"/>
      <c r="W178" s="224"/>
      <c r="X178" s="224"/>
      <c r="Y178" s="224"/>
      <c r="Z178" s="224"/>
      <c r="AA178" s="224"/>
      <c r="AB178" s="224"/>
      <c r="AC178" s="224"/>
      <c r="AD178" s="224"/>
      <c r="AE178" s="224"/>
      <c r="AF178" s="224"/>
      <c r="AG178" s="224"/>
      <c r="AH178" s="224"/>
      <c r="AI178" s="224"/>
      <c r="AJ178" s="224"/>
      <c r="AK178" s="224"/>
      <c r="AL178" s="224"/>
      <c r="AM178" s="224"/>
      <c r="AN178" s="224"/>
      <c r="AO178" s="224"/>
      <c r="AP178" s="224"/>
      <c r="AQ178" s="224"/>
      <c r="AR178" s="224"/>
      <c r="AS178" s="224"/>
      <c r="AT178" s="224"/>
      <c r="AU178" s="224"/>
      <c r="AV178" s="224"/>
      <c r="AW178" s="224"/>
      <c r="AX178" s="224"/>
      <c r="AY178" s="224"/>
      <c r="AZ178" s="224"/>
      <c r="BA178" s="224"/>
      <c r="BB178" s="224"/>
      <c r="BC178" s="224"/>
      <c r="BD178" s="224"/>
      <c r="BE178" s="224"/>
      <c r="BF178" s="224"/>
      <c r="BG178" s="224"/>
      <c r="BH178" s="224"/>
      <c r="BI178" s="224"/>
      <c r="BJ178" s="225">
        <v>16</v>
      </c>
      <c r="BK178" s="224"/>
      <c r="BL178" s="224"/>
      <c r="BM178" s="224"/>
      <c r="BN178" s="224"/>
      <c r="BO178" s="224"/>
      <c r="BP178" s="224"/>
      <c r="BQ178" s="224"/>
      <c r="BR178" s="224"/>
      <c r="BS178" s="224"/>
      <c r="BT178" s="224"/>
      <c r="BU178" s="224"/>
      <c r="BV178" s="224"/>
      <c r="BW178" s="224"/>
      <c r="BX178" s="224"/>
      <c r="BY178" s="224"/>
      <c r="BZ178" s="224"/>
      <c r="CA178" s="224"/>
      <c r="CB178" s="224"/>
      <c r="CC178" s="224"/>
      <c r="CD178" s="226">
        <v>16</v>
      </c>
    </row>
    <row r="179" spans="1:82" x14ac:dyDescent="0.3">
      <c r="A179" s="221" t="str">
        <f t="shared" si="4"/>
        <v>NON ADDHomeland Security ActivitiesDefending Against Catastrophic ThreatsHSA-Research to Combat Bioterrorism - Microbial Genomics, Analysis &amp; Modeling</v>
      </c>
      <c r="B179" s="6" t="s">
        <v>223</v>
      </c>
      <c r="C179" s="6" t="s">
        <v>248</v>
      </c>
      <c r="D179" s="224" t="s">
        <v>249</v>
      </c>
      <c r="E179" s="224" t="s">
        <v>250</v>
      </c>
      <c r="F179" s="224"/>
      <c r="G179" s="224"/>
      <c r="H179" s="224"/>
      <c r="I179" s="224"/>
      <c r="J179" s="224"/>
      <c r="K179" s="225">
        <v>16</v>
      </c>
      <c r="L179" s="225">
        <v>16</v>
      </c>
      <c r="M179" s="224"/>
      <c r="N179" s="224"/>
      <c r="O179" s="224"/>
      <c r="P179" s="224"/>
      <c r="Q179" s="224"/>
      <c r="R179" s="224"/>
      <c r="S179" s="224"/>
      <c r="T179" s="224"/>
      <c r="U179" s="224"/>
      <c r="V179" s="224"/>
      <c r="W179" s="224"/>
      <c r="X179" s="224"/>
      <c r="Y179" s="224"/>
      <c r="Z179" s="224"/>
      <c r="AA179" s="224"/>
      <c r="AB179" s="224"/>
      <c r="AC179" s="224"/>
      <c r="AD179" s="224"/>
      <c r="AE179" s="224"/>
      <c r="AF179" s="224"/>
      <c r="AG179" s="224"/>
      <c r="AH179" s="224"/>
      <c r="AI179" s="224"/>
      <c r="AJ179" s="224"/>
      <c r="AK179" s="224"/>
      <c r="AL179" s="224"/>
      <c r="AM179" s="224"/>
      <c r="AN179" s="224"/>
      <c r="AO179" s="224"/>
      <c r="AP179" s="224"/>
      <c r="AQ179" s="224"/>
      <c r="AR179" s="224"/>
      <c r="AS179" s="224"/>
      <c r="AT179" s="224"/>
      <c r="AU179" s="224"/>
      <c r="AV179" s="224"/>
      <c r="AW179" s="224"/>
      <c r="AX179" s="224"/>
      <c r="AY179" s="224"/>
      <c r="AZ179" s="224"/>
      <c r="BA179" s="224"/>
      <c r="BB179" s="224"/>
      <c r="BC179" s="224"/>
      <c r="BD179" s="224"/>
      <c r="BE179" s="224"/>
      <c r="BF179" s="224"/>
      <c r="BG179" s="224"/>
      <c r="BH179" s="224"/>
      <c r="BI179" s="224"/>
      <c r="BJ179" s="225">
        <v>16</v>
      </c>
      <c r="BK179" s="224"/>
      <c r="BL179" s="224"/>
      <c r="BM179" s="224"/>
      <c r="BN179" s="224"/>
      <c r="BO179" s="224"/>
      <c r="BP179" s="224"/>
      <c r="BQ179" s="224"/>
      <c r="BR179" s="224"/>
      <c r="BS179" s="224"/>
      <c r="BT179" s="224"/>
      <c r="BU179" s="224"/>
      <c r="BV179" s="224"/>
      <c r="BW179" s="224"/>
      <c r="BX179" s="224"/>
      <c r="BY179" s="224"/>
      <c r="BZ179" s="224"/>
      <c r="CA179" s="224"/>
      <c r="CB179" s="224"/>
      <c r="CC179" s="224"/>
      <c r="CD179" s="226">
        <v>16</v>
      </c>
    </row>
    <row r="180" spans="1:82" x14ac:dyDescent="0.3">
      <c r="A180" s="221" t="str">
        <f t="shared" si="4"/>
        <v>NON ADDHomeland Security ActivitiesProtecting Critical Infrastructure &amp; Key AssetsTotal</v>
      </c>
      <c r="B180" s="6" t="s">
        <v>223</v>
      </c>
      <c r="C180" s="6" t="s">
        <v>248</v>
      </c>
      <c r="D180" s="224" t="s">
        <v>251</v>
      </c>
      <c r="E180" s="6" t="s">
        <v>24</v>
      </c>
      <c r="F180" s="224"/>
      <c r="G180" s="224"/>
      <c r="H180" s="224"/>
      <c r="I180" s="224"/>
      <c r="J180" s="224"/>
      <c r="K180" s="224"/>
      <c r="L180" s="224"/>
      <c r="M180" s="224"/>
      <c r="N180" s="224"/>
      <c r="O180" s="224"/>
      <c r="P180" s="224"/>
      <c r="Q180" s="224"/>
      <c r="R180" s="225">
        <v>188.67</v>
      </c>
      <c r="S180" s="225">
        <v>188.67</v>
      </c>
      <c r="T180" s="224"/>
      <c r="U180" s="224"/>
      <c r="V180" s="224"/>
      <c r="W180" s="224"/>
      <c r="X180" s="224"/>
      <c r="Y180" s="224"/>
      <c r="Z180" s="225">
        <v>136.19999999999999</v>
      </c>
      <c r="AA180" s="225">
        <v>136.19999999999999</v>
      </c>
      <c r="AB180" s="224"/>
      <c r="AC180" s="224"/>
      <c r="AD180" s="224"/>
      <c r="AE180" s="225">
        <v>10.29</v>
      </c>
      <c r="AF180" s="224"/>
      <c r="AG180" s="224"/>
      <c r="AH180" s="225">
        <v>10.29</v>
      </c>
      <c r="AI180" s="224"/>
      <c r="AJ180" s="225">
        <v>0</v>
      </c>
      <c r="AK180" s="224"/>
      <c r="AL180" s="225">
        <v>2.02</v>
      </c>
      <c r="AM180" s="224"/>
      <c r="AN180" s="224"/>
      <c r="AO180" s="224"/>
      <c r="AP180" s="225">
        <v>2.02</v>
      </c>
      <c r="AQ180" s="225">
        <v>0</v>
      </c>
      <c r="AR180" s="224"/>
      <c r="AS180" s="225">
        <v>0</v>
      </c>
      <c r="AT180" s="225">
        <v>0</v>
      </c>
      <c r="AU180" s="225">
        <v>8.77</v>
      </c>
      <c r="AV180" s="225">
        <v>8.77</v>
      </c>
      <c r="AW180" s="224"/>
      <c r="AX180" s="224"/>
      <c r="AY180" s="225">
        <v>17.5</v>
      </c>
      <c r="AZ180" s="225">
        <v>17.5</v>
      </c>
      <c r="BA180" s="224"/>
      <c r="BB180" s="224"/>
      <c r="BC180" s="224"/>
      <c r="BD180" s="225">
        <v>5.53</v>
      </c>
      <c r="BE180" s="225">
        <v>5.53</v>
      </c>
      <c r="BF180" s="224"/>
      <c r="BG180" s="224"/>
      <c r="BH180" s="224"/>
      <c r="BI180" s="224"/>
      <c r="BJ180" s="225">
        <v>368.98</v>
      </c>
      <c r="BK180" s="225">
        <v>63</v>
      </c>
      <c r="BL180" s="224"/>
      <c r="BM180" s="224"/>
      <c r="BN180" s="224"/>
      <c r="BO180" s="224"/>
      <c r="BP180" s="225">
        <v>63</v>
      </c>
      <c r="BQ180" s="225">
        <v>63</v>
      </c>
      <c r="BR180" s="224"/>
      <c r="BS180" s="224"/>
      <c r="BT180" s="224"/>
      <c r="BU180" s="224"/>
      <c r="BV180" s="224"/>
      <c r="BW180" s="224"/>
      <c r="BX180" s="224"/>
      <c r="BY180" s="224"/>
      <c r="BZ180" s="224"/>
      <c r="CA180" s="224"/>
      <c r="CB180" s="224"/>
      <c r="CC180" s="224"/>
      <c r="CD180" s="226">
        <v>431.98</v>
      </c>
    </row>
    <row r="181" spans="1:82" x14ac:dyDescent="0.3">
      <c r="A181" s="221" t="str">
        <f t="shared" si="4"/>
        <v>NON ADDHomeland Security ActivitiesProtecting Critical Infrastructure &amp; Key AssetsHSA-Antarctic Physical Security</v>
      </c>
      <c r="B181" s="6" t="s">
        <v>223</v>
      </c>
      <c r="C181" s="6" t="s">
        <v>248</v>
      </c>
      <c r="D181" s="224" t="s">
        <v>251</v>
      </c>
      <c r="E181" s="224" t="s">
        <v>252</v>
      </c>
      <c r="F181" s="224"/>
      <c r="G181" s="224"/>
      <c r="H181" s="224"/>
      <c r="I181" s="224"/>
      <c r="J181" s="224"/>
      <c r="K181" s="224"/>
      <c r="L181" s="224"/>
      <c r="M181" s="224"/>
      <c r="N181" s="224"/>
      <c r="O181" s="224"/>
      <c r="P181" s="224"/>
      <c r="Q181" s="224"/>
      <c r="R181" s="224"/>
      <c r="S181" s="224"/>
      <c r="T181" s="224"/>
      <c r="U181" s="224"/>
      <c r="V181" s="224"/>
      <c r="W181" s="224"/>
      <c r="X181" s="224"/>
      <c r="Y181" s="224"/>
      <c r="Z181" s="224"/>
      <c r="AA181" s="224"/>
      <c r="AB181" s="224"/>
      <c r="AC181" s="224"/>
      <c r="AD181" s="224"/>
      <c r="AE181" s="225">
        <v>0.3</v>
      </c>
      <c r="AF181" s="224"/>
      <c r="AG181" s="224"/>
      <c r="AH181" s="225">
        <v>0.3</v>
      </c>
      <c r="AI181" s="224"/>
      <c r="AJ181" s="224"/>
      <c r="AK181" s="224"/>
      <c r="AL181" s="224"/>
      <c r="AM181" s="224"/>
      <c r="AN181" s="224"/>
      <c r="AO181" s="224"/>
      <c r="AP181" s="224"/>
      <c r="AQ181" s="224"/>
      <c r="AR181" s="224"/>
      <c r="AS181" s="224"/>
      <c r="AT181" s="224"/>
      <c r="AU181" s="224"/>
      <c r="AV181" s="224"/>
      <c r="AW181" s="224"/>
      <c r="AX181" s="224"/>
      <c r="AY181" s="224"/>
      <c r="AZ181" s="224"/>
      <c r="BA181" s="224"/>
      <c r="BB181" s="224"/>
      <c r="BC181" s="224"/>
      <c r="BD181" s="224"/>
      <c r="BE181" s="224"/>
      <c r="BF181" s="224"/>
      <c r="BG181" s="224"/>
      <c r="BH181" s="224"/>
      <c r="BI181" s="224"/>
      <c r="BJ181" s="225">
        <v>0.3</v>
      </c>
      <c r="BK181" s="224"/>
      <c r="BL181" s="224"/>
      <c r="BM181" s="224"/>
      <c r="BN181" s="224"/>
      <c r="BO181" s="224"/>
      <c r="BP181" s="224"/>
      <c r="BQ181" s="224"/>
      <c r="BR181" s="224"/>
      <c r="BS181" s="224"/>
      <c r="BT181" s="224"/>
      <c r="BU181" s="224"/>
      <c r="BV181" s="224"/>
      <c r="BW181" s="224"/>
      <c r="BX181" s="224"/>
      <c r="BY181" s="224"/>
      <c r="BZ181" s="224"/>
      <c r="CA181" s="224"/>
      <c r="CB181" s="224"/>
      <c r="CC181" s="224"/>
      <c r="CD181" s="226">
        <v>0.3</v>
      </c>
    </row>
    <row r="182" spans="1:82" x14ac:dyDescent="0.3">
      <c r="A182" s="221" t="str">
        <f t="shared" si="4"/>
        <v>NON ADDHomeland Security ActivitiesProtecting Critical Infrastructure &amp; Key AssetsHSA-Counterterrorism</v>
      </c>
      <c r="B182" s="6" t="s">
        <v>223</v>
      </c>
      <c r="C182" s="6" t="s">
        <v>248</v>
      </c>
      <c r="D182" s="224" t="s">
        <v>251</v>
      </c>
      <c r="E182" s="224" t="s">
        <v>253</v>
      </c>
      <c r="F182" s="224"/>
      <c r="G182" s="224"/>
      <c r="H182" s="224"/>
      <c r="I182" s="224"/>
      <c r="J182" s="224"/>
      <c r="K182" s="224"/>
      <c r="L182" s="224"/>
      <c r="M182" s="224"/>
      <c r="N182" s="224"/>
      <c r="O182" s="224"/>
      <c r="P182" s="224"/>
      <c r="Q182" s="224"/>
      <c r="R182" s="225">
        <v>22.8</v>
      </c>
      <c r="S182" s="225">
        <v>22.8</v>
      </c>
      <c r="T182" s="224"/>
      <c r="U182" s="224"/>
      <c r="V182" s="224"/>
      <c r="W182" s="224"/>
      <c r="X182" s="224"/>
      <c r="Y182" s="224"/>
      <c r="Z182" s="224"/>
      <c r="AA182" s="224"/>
      <c r="AB182" s="224"/>
      <c r="AC182" s="224"/>
      <c r="AD182" s="224"/>
      <c r="AE182" s="224"/>
      <c r="AF182" s="224"/>
      <c r="AG182" s="224"/>
      <c r="AH182" s="224"/>
      <c r="AI182" s="224"/>
      <c r="AJ182" s="224"/>
      <c r="AK182" s="224"/>
      <c r="AL182" s="224"/>
      <c r="AM182" s="224"/>
      <c r="AN182" s="224"/>
      <c r="AO182" s="224"/>
      <c r="AP182" s="224"/>
      <c r="AQ182" s="224"/>
      <c r="AR182" s="224"/>
      <c r="AS182" s="224"/>
      <c r="AT182" s="224"/>
      <c r="AU182" s="224"/>
      <c r="AV182" s="224"/>
      <c r="AW182" s="224"/>
      <c r="AX182" s="224"/>
      <c r="AY182" s="224"/>
      <c r="AZ182" s="224"/>
      <c r="BA182" s="224"/>
      <c r="BB182" s="224"/>
      <c r="BC182" s="224"/>
      <c r="BD182" s="224"/>
      <c r="BE182" s="224"/>
      <c r="BF182" s="224"/>
      <c r="BG182" s="224"/>
      <c r="BH182" s="224"/>
      <c r="BI182" s="224"/>
      <c r="BJ182" s="225">
        <v>22.8</v>
      </c>
      <c r="BK182" s="224"/>
      <c r="BL182" s="224"/>
      <c r="BM182" s="224"/>
      <c r="BN182" s="224"/>
      <c r="BO182" s="224"/>
      <c r="BP182" s="224"/>
      <c r="BQ182" s="224"/>
      <c r="BR182" s="224"/>
      <c r="BS182" s="224"/>
      <c r="BT182" s="224"/>
      <c r="BU182" s="224"/>
      <c r="BV182" s="224"/>
      <c r="BW182" s="224"/>
      <c r="BX182" s="224"/>
      <c r="BY182" s="224"/>
      <c r="BZ182" s="224"/>
      <c r="CA182" s="224"/>
      <c r="CB182" s="224"/>
      <c r="CC182" s="224"/>
      <c r="CD182" s="226">
        <v>22.8</v>
      </c>
    </row>
    <row r="183" spans="1:82" x14ac:dyDescent="0.3">
      <c r="A183" s="221" t="str">
        <f t="shared" si="4"/>
        <v>NON ADDHomeland Security ActivitiesProtecting Critical Infrastructure &amp; Key AssetsHSA-Cybersecurity</v>
      </c>
      <c r="B183" s="6" t="s">
        <v>223</v>
      </c>
      <c r="C183" s="6" t="s">
        <v>248</v>
      </c>
      <c r="D183" s="224" t="s">
        <v>251</v>
      </c>
      <c r="E183" s="224" t="s">
        <v>254</v>
      </c>
      <c r="F183" s="224"/>
      <c r="G183" s="224"/>
      <c r="H183" s="224"/>
      <c r="I183" s="224"/>
      <c r="J183" s="224"/>
      <c r="K183" s="224"/>
      <c r="L183" s="224"/>
      <c r="M183" s="224"/>
      <c r="N183" s="224"/>
      <c r="O183" s="224"/>
      <c r="P183" s="224"/>
      <c r="Q183" s="224"/>
      <c r="R183" s="225">
        <v>144.97</v>
      </c>
      <c r="S183" s="225">
        <v>144.97</v>
      </c>
      <c r="T183" s="224"/>
      <c r="U183" s="224"/>
      <c r="V183" s="224"/>
      <c r="W183" s="224"/>
      <c r="X183" s="224"/>
      <c r="Y183" s="224"/>
      <c r="Z183" s="225">
        <v>4.8</v>
      </c>
      <c r="AA183" s="225">
        <v>4.8</v>
      </c>
      <c r="AB183" s="224"/>
      <c r="AC183" s="224"/>
      <c r="AD183" s="224"/>
      <c r="AE183" s="224"/>
      <c r="AF183" s="224"/>
      <c r="AG183" s="224"/>
      <c r="AH183" s="224"/>
      <c r="AI183" s="224"/>
      <c r="AJ183" s="224"/>
      <c r="AK183" s="224"/>
      <c r="AL183" s="225">
        <v>1.27</v>
      </c>
      <c r="AM183" s="224"/>
      <c r="AN183" s="224"/>
      <c r="AO183" s="224"/>
      <c r="AP183" s="225">
        <v>1.27</v>
      </c>
      <c r="AQ183" s="225">
        <v>0</v>
      </c>
      <c r="AR183" s="224"/>
      <c r="AS183" s="225">
        <v>0</v>
      </c>
      <c r="AT183" s="225">
        <v>0</v>
      </c>
      <c r="AU183" s="225">
        <v>6.34</v>
      </c>
      <c r="AV183" s="225">
        <v>6.34</v>
      </c>
      <c r="AW183" s="224"/>
      <c r="AX183" s="224"/>
      <c r="AY183" s="225">
        <v>17.5</v>
      </c>
      <c r="AZ183" s="225">
        <v>17.5</v>
      </c>
      <c r="BA183" s="224"/>
      <c r="BB183" s="224"/>
      <c r="BC183" s="224"/>
      <c r="BD183" s="224"/>
      <c r="BE183" s="224"/>
      <c r="BF183" s="224"/>
      <c r="BG183" s="224"/>
      <c r="BH183" s="224"/>
      <c r="BI183" s="224"/>
      <c r="BJ183" s="225">
        <v>174.88</v>
      </c>
      <c r="BK183" s="224"/>
      <c r="BL183" s="224"/>
      <c r="BM183" s="224"/>
      <c r="BN183" s="224"/>
      <c r="BO183" s="224"/>
      <c r="BP183" s="224"/>
      <c r="BQ183" s="224"/>
      <c r="BR183" s="224"/>
      <c r="BS183" s="224"/>
      <c r="BT183" s="224"/>
      <c r="BU183" s="224"/>
      <c r="BV183" s="224"/>
      <c r="BW183" s="224"/>
      <c r="BX183" s="224"/>
      <c r="BY183" s="224"/>
      <c r="BZ183" s="224"/>
      <c r="CA183" s="224"/>
      <c r="CB183" s="224"/>
      <c r="CC183" s="224"/>
      <c r="CD183" s="226">
        <v>174.88</v>
      </c>
    </row>
    <row r="184" spans="1:82" x14ac:dyDescent="0.3">
      <c r="A184" s="221" t="str">
        <f t="shared" si="4"/>
        <v>NON ADDHomeland Security ActivitiesProtecting Critical Infrastructure &amp; Key AssetsHSA-Emergency Planning &amp; Response</v>
      </c>
      <c r="B184" s="6" t="s">
        <v>223</v>
      </c>
      <c r="C184" s="6" t="s">
        <v>248</v>
      </c>
      <c r="D184" s="224" t="s">
        <v>251</v>
      </c>
      <c r="E184" s="224" t="s">
        <v>255</v>
      </c>
      <c r="F184" s="224"/>
      <c r="G184" s="224"/>
      <c r="H184" s="224"/>
      <c r="I184" s="224"/>
      <c r="J184" s="224"/>
      <c r="K184" s="224"/>
      <c r="L184" s="224"/>
      <c r="M184" s="224"/>
      <c r="N184" s="224"/>
      <c r="O184" s="224"/>
      <c r="P184" s="224"/>
      <c r="Q184" s="224"/>
      <c r="R184" s="225">
        <v>20.9</v>
      </c>
      <c r="S184" s="225">
        <v>20.9</v>
      </c>
      <c r="T184" s="224"/>
      <c r="U184" s="224"/>
      <c r="V184" s="224"/>
      <c r="W184" s="224"/>
      <c r="X184" s="224"/>
      <c r="Y184" s="224"/>
      <c r="Z184" s="225">
        <v>21.9</v>
      </c>
      <c r="AA184" s="225">
        <v>21.9</v>
      </c>
      <c r="AB184" s="224"/>
      <c r="AC184" s="224"/>
      <c r="AD184" s="224"/>
      <c r="AE184" s="224"/>
      <c r="AF184" s="224"/>
      <c r="AG184" s="224"/>
      <c r="AH184" s="224"/>
      <c r="AI184" s="224"/>
      <c r="AJ184" s="225">
        <v>0</v>
      </c>
      <c r="AK184" s="224"/>
      <c r="AL184" s="224"/>
      <c r="AM184" s="224"/>
      <c r="AN184" s="224"/>
      <c r="AO184" s="224"/>
      <c r="AP184" s="225">
        <v>0</v>
      </c>
      <c r="AQ184" s="224"/>
      <c r="AR184" s="224"/>
      <c r="AS184" s="224"/>
      <c r="AT184" s="224"/>
      <c r="AU184" s="224"/>
      <c r="AV184" s="224"/>
      <c r="AW184" s="224"/>
      <c r="AX184" s="224"/>
      <c r="AY184" s="224"/>
      <c r="AZ184" s="224"/>
      <c r="BA184" s="224"/>
      <c r="BB184" s="224"/>
      <c r="BC184" s="224"/>
      <c r="BD184" s="224"/>
      <c r="BE184" s="224"/>
      <c r="BF184" s="224"/>
      <c r="BG184" s="224"/>
      <c r="BH184" s="224"/>
      <c r="BI184" s="224"/>
      <c r="BJ184" s="225">
        <v>42.8</v>
      </c>
      <c r="BK184" s="224"/>
      <c r="BL184" s="224"/>
      <c r="BM184" s="224"/>
      <c r="BN184" s="224"/>
      <c r="BO184" s="224"/>
      <c r="BP184" s="224"/>
      <c r="BQ184" s="224"/>
      <c r="BR184" s="224"/>
      <c r="BS184" s="224"/>
      <c r="BT184" s="224"/>
      <c r="BU184" s="224"/>
      <c r="BV184" s="224"/>
      <c r="BW184" s="224"/>
      <c r="BX184" s="224"/>
      <c r="BY184" s="224"/>
      <c r="BZ184" s="224"/>
      <c r="CA184" s="224"/>
      <c r="CB184" s="224"/>
      <c r="CC184" s="224"/>
      <c r="CD184" s="226">
        <v>42.8</v>
      </c>
    </row>
    <row r="185" spans="1:82" x14ac:dyDescent="0.3">
      <c r="A185" s="221" t="str">
        <f t="shared" si="4"/>
        <v>NON ADDHomeland Security ActivitiesProtecting Critical Infrastructure &amp; Key AssetsHSA-Energy Supply Assurance</v>
      </c>
      <c r="B185" s="6" t="s">
        <v>223</v>
      </c>
      <c r="C185" s="6" t="s">
        <v>248</v>
      </c>
      <c r="D185" s="224" t="s">
        <v>251</v>
      </c>
      <c r="E185" s="224" t="s">
        <v>256</v>
      </c>
      <c r="F185" s="224"/>
      <c r="G185" s="224"/>
      <c r="H185" s="224"/>
      <c r="I185" s="224"/>
      <c r="J185" s="224"/>
      <c r="K185" s="224"/>
      <c r="L185" s="224"/>
      <c r="M185" s="224"/>
      <c r="N185" s="224"/>
      <c r="O185" s="224"/>
      <c r="P185" s="224"/>
      <c r="Q185" s="224"/>
      <c r="R185" s="224"/>
      <c r="S185" s="224"/>
      <c r="T185" s="224"/>
      <c r="U185" s="224"/>
      <c r="V185" s="224"/>
      <c r="W185" s="224"/>
      <c r="X185" s="224"/>
      <c r="Y185" s="224"/>
      <c r="Z185" s="225">
        <v>23.25</v>
      </c>
      <c r="AA185" s="225">
        <v>23.25</v>
      </c>
      <c r="AB185" s="224"/>
      <c r="AC185" s="224"/>
      <c r="AD185" s="224"/>
      <c r="AE185" s="224"/>
      <c r="AF185" s="224"/>
      <c r="AG185" s="224"/>
      <c r="AH185" s="224"/>
      <c r="AI185" s="224"/>
      <c r="AJ185" s="224"/>
      <c r="AK185" s="224"/>
      <c r="AL185" s="224"/>
      <c r="AM185" s="224"/>
      <c r="AN185" s="224"/>
      <c r="AO185" s="224"/>
      <c r="AP185" s="224"/>
      <c r="AQ185" s="224"/>
      <c r="AR185" s="224"/>
      <c r="AS185" s="224"/>
      <c r="AT185" s="224"/>
      <c r="AU185" s="224"/>
      <c r="AV185" s="224"/>
      <c r="AW185" s="224"/>
      <c r="AX185" s="224"/>
      <c r="AY185" s="224"/>
      <c r="AZ185" s="224"/>
      <c r="BA185" s="224"/>
      <c r="BB185" s="224"/>
      <c r="BC185" s="224"/>
      <c r="BD185" s="224"/>
      <c r="BE185" s="224"/>
      <c r="BF185" s="224"/>
      <c r="BG185" s="224"/>
      <c r="BH185" s="224"/>
      <c r="BI185" s="224"/>
      <c r="BJ185" s="225">
        <v>23.25</v>
      </c>
      <c r="BK185" s="224"/>
      <c r="BL185" s="224"/>
      <c r="BM185" s="224"/>
      <c r="BN185" s="224"/>
      <c r="BO185" s="224"/>
      <c r="BP185" s="224"/>
      <c r="BQ185" s="224"/>
      <c r="BR185" s="224"/>
      <c r="BS185" s="224"/>
      <c r="BT185" s="224"/>
      <c r="BU185" s="224"/>
      <c r="BV185" s="224"/>
      <c r="BW185" s="224"/>
      <c r="BX185" s="224"/>
      <c r="BY185" s="224"/>
      <c r="BZ185" s="224"/>
      <c r="CA185" s="224"/>
      <c r="CB185" s="224"/>
      <c r="CC185" s="224"/>
      <c r="CD185" s="226">
        <v>23.25</v>
      </c>
    </row>
    <row r="186" spans="1:82" x14ac:dyDescent="0.3">
      <c r="A186" s="221" t="str">
        <f t="shared" si="4"/>
        <v>NON ADDHomeland Security ActivitiesProtecting Critical Infrastructure &amp; Key AssetsHSA-IT Security</v>
      </c>
      <c r="B186" s="6" t="s">
        <v>223</v>
      </c>
      <c r="C186" s="6" t="s">
        <v>248</v>
      </c>
      <c r="D186" s="224" t="s">
        <v>251</v>
      </c>
      <c r="E186" s="224" t="s">
        <v>257</v>
      </c>
      <c r="F186" s="224"/>
      <c r="G186" s="224"/>
      <c r="H186" s="224"/>
      <c r="I186" s="224"/>
      <c r="J186" s="224"/>
      <c r="K186" s="224"/>
      <c r="L186" s="224"/>
      <c r="M186" s="224"/>
      <c r="N186" s="224"/>
      <c r="O186" s="224"/>
      <c r="P186" s="224"/>
      <c r="Q186" s="224"/>
      <c r="R186" s="224"/>
      <c r="S186" s="224"/>
      <c r="T186" s="224"/>
      <c r="U186" s="224"/>
      <c r="V186" s="224"/>
      <c r="W186" s="224"/>
      <c r="X186" s="224"/>
      <c r="Y186" s="224"/>
      <c r="Z186" s="224"/>
      <c r="AA186" s="224"/>
      <c r="AB186" s="224"/>
      <c r="AC186" s="224"/>
      <c r="AD186" s="224"/>
      <c r="AE186" s="225">
        <v>9.99</v>
      </c>
      <c r="AF186" s="224"/>
      <c r="AG186" s="224"/>
      <c r="AH186" s="225">
        <v>9.99</v>
      </c>
      <c r="AI186" s="224"/>
      <c r="AJ186" s="224"/>
      <c r="AK186" s="224"/>
      <c r="AL186" s="224"/>
      <c r="AM186" s="224"/>
      <c r="AN186" s="224"/>
      <c r="AO186" s="224"/>
      <c r="AP186" s="224"/>
      <c r="AQ186" s="224"/>
      <c r="AR186" s="224"/>
      <c r="AS186" s="224"/>
      <c r="AT186" s="224"/>
      <c r="AU186" s="224"/>
      <c r="AV186" s="224"/>
      <c r="AW186" s="224"/>
      <c r="AX186" s="224"/>
      <c r="AY186" s="224"/>
      <c r="AZ186" s="224"/>
      <c r="BA186" s="224"/>
      <c r="BB186" s="224"/>
      <c r="BC186" s="224"/>
      <c r="BD186" s="225">
        <v>5.53</v>
      </c>
      <c r="BE186" s="225">
        <v>5.53</v>
      </c>
      <c r="BF186" s="224"/>
      <c r="BG186" s="224"/>
      <c r="BH186" s="224"/>
      <c r="BI186" s="224"/>
      <c r="BJ186" s="225">
        <v>15.52</v>
      </c>
      <c r="BK186" s="224"/>
      <c r="BL186" s="224"/>
      <c r="BM186" s="224"/>
      <c r="BN186" s="224"/>
      <c r="BO186" s="224"/>
      <c r="BP186" s="224"/>
      <c r="BQ186" s="224"/>
      <c r="BR186" s="224"/>
      <c r="BS186" s="224"/>
      <c r="BT186" s="224"/>
      <c r="BU186" s="224"/>
      <c r="BV186" s="224"/>
      <c r="BW186" s="224"/>
      <c r="BX186" s="224"/>
      <c r="BY186" s="224"/>
      <c r="BZ186" s="224"/>
      <c r="CA186" s="224"/>
      <c r="CB186" s="224"/>
      <c r="CC186" s="224"/>
      <c r="CD186" s="226">
        <v>15.52</v>
      </c>
    </row>
    <row r="187" spans="1:82" x14ac:dyDescent="0.3">
      <c r="A187" s="221" t="str">
        <f t="shared" si="4"/>
        <v>NON ADDHomeland Security ActivitiesProtecting Critical Infrastructure &amp; Key AssetsHSA-Resilient Infrastructure</v>
      </c>
      <c r="B187" s="6" t="s">
        <v>223</v>
      </c>
      <c r="C187" s="6" t="s">
        <v>248</v>
      </c>
      <c r="D187" s="224" t="s">
        <v>251</v>
      </c>
      <c r="E187" s="224" t="s">
        <v>258</v>
      </c>
      <c r="F187" s="224"/>
      <c r="G187" s="224"/>
      <c r="H187" s="224"/>
      <c r="I187" s="224"/>
      <c r="J187" s="224"/>
      <c r="K187" s="224"/>
      <c r="L187" s="224"/>
      <c r="M187" s="224"/>
      <c r="N187" s="224"/>
      <c r="O187" s="224"/>
      <c r="P187" s="224"/>
      <c r="Q187" s="224"/>
      <c r="R187" s="224"/>
      <c r="S187" s="224"/>
      <c r="T187" s="224"/>
      <c r="U187" s="224"/>
      <c r="V187" s="224"/>
      <c r="W187" s="224"/>
      <c r="X187" s="224"/>
      <c r="Y187" s="224"/>
      <c r="Z187" s="225">
        <v>86.25</v>
      </c>
      <c r="AA187" s="225">
        <v>86.25</v>
      </c>
      <c r="AB187" s="224"/>
      <c r="AC187" s="224"/>
      <c r="AD187" s="224"/>
      <c r="AE187" s="224"/>
      <c r="AF187" s="224"/>
      <c r="AG187" s="224"/>
      <c r="AH187" s="224"/>
      <c r="AI187" s="224"/>
      <c r="AJ187" s="224"/>
      <c r="AK187" s="224"/>
      <c r="AL187" s="225">
        <v>0.75</v>
      </c>
      <c r="AM187" s="224"/>
      <c r="AN187" s="224"/>
      <c r="AO187" s="224"/>
      <c r="AP187" s="225">
        <v>0.75</v>
      </c>
      <c r="AQ187" s="225">
        <v>0</v>
      </c>
      <c r="AR187" s="224"/>
      <c r="AS187" s="224"/>
      <c r="AT187" s="225">
        <v>0</v>
      </c>
      <c r="AU187" s="225">
        <v>2.4300000000000002</v>
      </c>
      <c r="AV187" s="225">
        <v>2.4300000000000002</v>
      </c>
      <c r="AW187" s="224"/>
      <c r="AX187" s="224"/>
      <c r="AY187" s="224"/>
      <c r="AZ187" s="224"/>
      <c r="BA187" s="224"/>
      <c r="BB187" s="224"/>
      <c r="BC187" s="224"/>
      <c r="BD187" s="224"/>
      <c r="BE187" s="224"/>
      <c r="BF187" s="224"/>
      <c r="BG187" s="224"/>
      <c r="BH187" s="224"/>
      <c r="BI187" s="224"/>
      <c r="BJ187" s="225">
        <v>89.43</v>
      </c>
      <c r="BK187" s="224"/>
      <c r="BL187" s="224"/>
      <c r="BM187" s="224"/>
      <c r="BN187" s="224"/>
      <c r="BO187" s="224"/>
      <c r="BP187" s="224"/>
      <c r="BQ187" s="224"/>
      <c r="BR187" s="224"/>
      <c r="BS187" s="224"/>
      <c r="BT187" s="224"/>
      <c r="BU187" s="224"/>
      <c r="BV187" s="224"/>
      <c r="BW187" s="224"/>
      <c r="BX187" s="224"/>
      <c r="BY187" s="224"/>
      <c r="BZ187" s="224"/>
      <c r="CA187" s="224"/>
      <c r="CB187" s="224"/>
      <c r="CC187" s="224"/>
      <c r="CD187" s="226">
        <v>89.43</v>
      </c>
    </row>
    <row r="188" spans="1:82" x14ac:dyDescent="0.3">
      <c r="A188" s="221" t="str">
        <f t="shared" si="4"/>
        <v>NON ADDHomeland Security ActivitiesProtecting Critical Infrastructure &amp; Key AssetsHSA-Scholarship for Service/Cybercorps (HSA)</v>
      </c>
      <c r="B188" s="6" t="s">
        <v>223</v>
      </c>
      <c r="C188" s="6" t="s">
        <v>248</v>
      </c>
      <c r="D188" s="224" t="s">
        <v>251</v>
      </c>
      <c r="E188" s="224" t="s">
        <v>259</v>
      </c>
      <c r="F188" s="224"/>
      <c r="G188" s="224"/>
      <c r="H188" s="224"/>
      <c r="I188" s="224"/>
      <c r="J188" s="224"/>
      <c r="K188" s="224"/>
      <c r="L188" s="224"/>
      <c r="M188" s="224"/>
      <c r="N188" s="224"/>
      <c r="O188" s="224"/>
      <c r="P188" s="224"/>
      <c r="Q188" s="224"/>
      <c r="R188" s="224"/>
      <c r="S188" s="224"/>
      <c r="T188" s="224"/>
      <c r="U188" s="224"/>
      <c r="V188" s="224"/>
      <c r="W188" s="224"/>
      <c r="X188" s="224"/>
      <c r="Y188" s="224"/>
      <c r="Z188" s="224"/>
      <c r="AA188" s="224"/>
      <c r="AB188" s="224"/>
      <c r="AC188" s="224"/>
      <c r="AD188" s="224"/>
      <c r="AE188" s="224"/>
      <c r="AF188" s="224"/>
      <c r="AG188" s="224"/>
      <c r="AH188" s="224"/>
      <c r="AI188" s="224"/>
      <c r="AJ188" s="224"/>
      <c r="AK188" s="224"/>
      <c r="AL188" s="224"/>
      <c r="AM188" s="224"/>
      <c r="AN188" s="224"/>
      <c r="AO188" s="224"/>
      <c r="AP188" s="224"/>
      <c r="AQ188" s="224"/>
      <c r="AR188" s="224"/>
      <c r="AS188" s="224"/>
      <c r="AT188" s="224"/>
      <c r="AU188" s="224"/>
      <c r="AV188" s="224"/>
      <c r="AW188" s="224"/>
      <c r="AX188" s="224"/>
      <c r="AY188" s="224"/>
      <c r="AZ188" s="224"/>
      <c r="BA188" s="224"/>
      <c r="BB188" s="224"/>
      <c r="BC188" s="224"/>
      <c r="BD188" s="224"/>
      <c r="BE188" s="224"/>
      <c r="BF188" s="224"/>
      <c r="BG188" s="224"/>
      <c r="BH188" s="224"/>
      <c r="BI188" s="224"/>
      <c r="BJ188" s="224"/>
      <c r="BK188" s="225">
        <v>63</v>
      </c>
      <c r="BL188" s="224"/>
      <c r="BM188" s="224"/>
      <c r="BN188" s="224"/>
      <c r="BO188" s="224"/>
      <c r="BP188" s="225">
        <v>63</v>
      </c>
      <c r="BQ188" s="225">
        <v>63</v>
      </c>
      <c r="BR188" s="224"/>
      <c r="BS188" s="224"/>
      <c r="BT188" s="224"/>
      <c r="BU188" s="224"/>
      <c r="BV188" s="224"/>
      <c r="BW188" s="224"/>
      <c r="BX188" s="224"/>
      <c r="BY188" s="224"/>
      <c r="BZ188" s="224"/>
      <c r="CA188" s="224"/>
      <c r="CB188" s="224"/>
      <c r="CC188" s="224"/>
      <c r="CD188" s="226">
        <v>63</v>
      </c>
    </row>
    <row r="189" spans="1:82" x14ac:dyDescent="0.3">
      <c r="A189" s="221" t="str">
        <f t="shared" si="4"/>
        <v>NON ADDNSTC Crosscuts (excl. HSA)TotalTotal</v>
      </c>
      <c r="B189" s="6" t="s">
        <v>223</v>
      </c>
      <c r="C189" s="6" t="s">
        <v>260</v>
      </c>
      <c r="D189" s="6" t="s">
        <v>24</v>
      </c>
      <c r="E189" s="6" t="s">
        <v>24</v>
      </c>
      <c r="F189" s="224"/>
      <c r="G189" s="224"/>
      <c r="H189" s="224"/>
      <c r="I189" s="224"/>
      <c r="J189" s="224"/>
      <c r="K189" s="225">
        <v>284.24</v>
      </c>
      <c r="L189" s="225">
        <v>284.24</v>
      </c>
      <c r="M189" s="224"/>
      <c r="N189" s="224"/>
      <c r="O189" s="224"/>
      <c r="P189" s="224"/>
      <c r="Q189" s="224"/>
      <c r="R189" s="225">
        <v>1056.221</v>
      </c>
      <c r="S189" s="225">
        <v>1056.221</v>
      </c>
      <c r="T189" s="224"/>
      <c r="U189" s="224"/>
      <c r="V189" s="224"/>
      <c r="W189" s="224"/>
      <c r="X189" s="224"/>
      <c r="Y189" s="224"/>
      <c r="Z189" s="225">
        <v>465.72</v>
      </c>
      <c r="AA189" s="225">
        <v>465.72</v>
      </c>
      <c r="AB189" s="224"/>
      <c r="AC189" s="224"/>
      <c r="AD189" s="224"/>
      <c r="AE189" s="225">
        <v>236</v>
      </c>
      <c r="AF189" s="225">
        <v>0</v>
      </c>
      <c r="AG189" s="225">
        <v>360.6</v>
      </c>
      <c r="AH189" s="225">
        <v>596.6</v>
      </c>
      <c r="AI189" s="225">
        <v>11.03</v>
      </c>
      <c r="AJ189" s="225">
        <v>196.81</v>
      </c>
      <c r="AK189" s="225">
        <v>365.97</v>
      </c>
      <c r="AL189" s="225">
        <v>33.64</v>
      </c>
      <c r="AM189" s="225">
        <v>85.43</v>
      </c>
      <c r="AN189" s="225">
        <v>102.36</v>
      </c>
      <c r="AO189" s="224"/>
      <c r="AP189" s="225">
        <v>795.24</v>
      </c>
      <c r="AQ189" s="225">
        <v>0</v>
      </c>
      <c r="AR189" s="225">
        <v>0</v>
      </c>
      <c r="AS189" s="225">
        <v>0</v>
      </c>
      <c r="AT189" s="225">
        <v>0</v>
      </c>
      <c r="AU189" s="225">
        <v>62.21</v>
      </c>
      <c r="AV189" s="225">
        <v>62.21</v>
      </c>
      <c r="AW189" s="224"/>
      <c r="AX189" s="224"/>
      <c r="AY189" s="225">
        <v>254</v>
      </c>
      <c r="AZ189" s="225">
        <v>254</v>
      </c>
      <c r="BA189" s="225">
        <v>12.093</v>
      </c>
      <c r="BB189" s="225">
        <v>12.093</v>
      </c>
      <c r="BC189" s="225">
        <v>27.02</v>
      </c>
      <c r="BD189" s="225">
        <v>6.64</v>
      </c>
      <c r="BE189" s="225">
        <v>33.659999999999997</v>
      </c>
      <c r="BF189" s="224"/>
      <c r="BG189" s="224"/>
      <c r="BH189" s="224"/>
      <c r="BI189" s="224"/>
      <c r="BJ189" s="225">
        <v>3559.9839999999999</v>
      </c>
      <c r="BK189" s="225">
        <v>9.98</v>
      </c>
      <c r="BL189" s="225">
        <v>18.399999999999999</v>
      </c>
      <c r="BM189" s="225">
        <v>7.49</v>
      </c>
      <c r="BN189" s="225">
        <v>6.71</v>
      </c>
      <c r="BO189" s="225">
        <v>0</v>
      </c>
      <c r="BP189" s="225">
        <v>42.58</v>
      </c>
      <c r="BQ189" s="225">
        <v>42.58</v>
      </c>
      <c r="BR189" s="224"/>
      <c r="BS189" s="224"/>
      <c r="BT189" s="224"/>
      <c r="BU189" s="224"/>
      <c r="BV189" s="224"/>
      <c r="BW189" s="224"/>
      <c r="BX189" s="224"/>
      <c r="BY189" s="224"/>
      <c r="BZ189" s="224"/>
      <c r="CA189" s="224"/>
      <c r="CB189" s="224"/>
      <c r="CC189" s="224"/>
      <c r="CD189" s="226">
        <v>3602.5639999999999</v>
      </c>
    </row>
    <row r="190" spans="1:82" x14ac:dyDescent="0.3">
      <c r="A190" s="221" t="str">
        <f t="shared" si="4"/>
        <v>NON ADDNSTC Crosscuts (excl. HSA)National Nanotechnology Initiative (NNI)Total</v>
      </c>
      <c r="B190" s="6" t="s">
        <v>223</v>
      </c>
      <c r="C190" s="6" t="s">
        <v>260</v>
      </c>
      <c r="D190" s="224" t="s">
        <v>261</v>
      </c>
      <c r="E190" s="6" t="s">
        <v>24</v>
      </c>
      <c r="F190" s="224"/>
      <c r="G190" s="224"/>
      <c r="H190" s="224"/>
      <c r="I190" s="224"/>
      <c r="J190" s="224"/>
      <c r="K190" s="225">
        <v>39.950000000000003</v>
      </c>
      <c r="L190" s="225">
        <v>39.950000000000003</v>
      </c>
      <c r="M190" s="224"/>
      <c r="N190" s="224"/>
      <c r="O190" s="224"/>
      <c r="P190" s="224"/>
      <c r="Q190" s="224"/>
      <c r="R190" s="225">
        <v>15.624000000000001</v>
      </c>
      <c r="S190" s="225">
        <v>15.624000000000001</v>
      </c>
      <c r="T190" s="224"/>
      <c r="U190" s="224"/>
      <c r="V190" s="224"/>
      <c r="W190" s="224"/>
      <c r="X190" s="224"/>
      <c r="Y190" s="224"/>
      <c r="Z190" s="225">
        <v>267.13</v>
      </c>
      <c r="AA190" s="225">
        <v>267.13</v>
      </c>
      <c r="AB190" s="224"/>
      <c r="AC190" s="224"/>
      <c r="AD190" s="224"/>
      <c r="AE190" s="224"/>
      <c r="AF190" s="225">
        <v>0</v>
      </c>
      <c r="AG190" s="224"/>
      <c r="AH190" s="225">
        <v>0</v>
      </c>
      <c r="AI190" s="224"/>
      <c r="AJ190" s="225">
        <v>47.68</v>
      </c>
      <c r="AK190" s="225">
        <v>141.08000000000001</v>
      </c>
      <c r="AL190" s="225">
        <v>0.5</v>
      </c>
      <c r="AM190" s="225">
        <v>0</v>
      </c>
      <c r="AN190" s="225">
        <v>16.91</v>
      </c>
      <c r="AO190" s="224"/>
      <c r="AP190" s="225">
        <v>206.17</v>
      </c>
      <c r="AQ190" s="225">
        <v>0</v>
      </c>
      <c r="AR190" s="224"/>
      <c r="AS190" s="224"/>
      <c r="AT190" s="225">
        <v>0</v>
      </c>
      <c r="AU190" s="225">
        <v>0.4</v>
      </c>
      <c r="AV190" s="225">
        <v>0.4</v>
      </c>
      <c r="AW190" s="224"/>
      <c r="AX190" s="224"/>
      <c r="AY190" s="225">
        <v>4.9000000000000004</v>
      </c>
      <c r="AZ190" s="225">
        <v>4.9000000000000004</v>
      </c>
      <c r="BA190" s="225">
        <v>0.1</v>
      </c>
      <c r="BB190" s="225">
        <v>0.1</v>
      </c>
      <c r="BC190" s="224"/>
      <c r="BD190" s="224"/>
      <c r="BE190" s="224"/>
      <c r="BF190" s="224"/>
      <c r="BG190" s="224"/>
      <c r="BH190" s="224"/>
      <c r="BI190" s="224"/>
      <c r="BJ190" s="225">
        <v>534.274</v>
      </c>
      <c r="BK190" s="225">
        <v>3</v>
      </c>
      <c r="BL190" s="224"/>
      <c r="BM190" s="225">
        <v>4.6900000000000004</v>
      </c>
      <c r="BN190" s="225">
        <v>3.16</v>
      </c>
      <c r="BO190" s="225">
        <v>0</v>
      </c>
      <c r="BP190" s="225">
        <v>10.85</v>
      </c>
      <c r="BQ190" s="225">
        <v>10.85</v>
      </c>
      <c r="BR190" s="224"/>
      <c r="BS190" s="224"/>
      <c r="BT190" s="224"/>
      <c r="BU190" s="224"/>
      <c r="BV190" s="224"/>
      <c r="BW190" s="224"/>
      <c r="BX190" s="224"/>
      <c r="BY190" s="224"/>
      <c r="BZ190" s="224"/>
      <c r="CA190" s="224"/>
      <c r="CB190" s="224"/>
      <c r="CC190" s="224"/>
      <c r="CD190" s="226">
        <v>545.12400000000002</v>
      </c>
    </row>
    <row r="191" spans="1:82" x14ac:dyDescent="0.3">
      <c r="A191" s="221" t="str">
        <f t="shared" si="4"/>
        <v>NON ADDNSTC Crosscuts (excl. HSA)National Nanotechnology Initiative (NNI)NNI-Education and Workforce Development</v>
      </c>
      <c r="B191" s="6" t="s">
        <v>223</v>
      </c>
      <c r="C191" s="6" t="s">
        <v>260</v>
      </c>
      <c r="D191" s="224" t="s">
        <v>261</v>
      </c>
      <c r="E191" s="224" t="s">
        <v>262</v>
      </c>
      <c r="F191" s="224"/>
      <c r="G191" s="224"/>
      <c r="H191" s="224"/>
      <c r="I191" s="224"/>
      <c r="J191" s="224"/>
      <c r="K191" s="224"/>
      <c r="L191" s="224"/>
      <c r="M191" s="224"/>
      <c r="N191" s="224"/>
      <c r="O191" s="224"/>
      <c r="P191" s="224"/>
      <c r="Q191" s="224"/>
      <c r="R191" s="224"/>
      <c r="S191" s="224"/>
      <c r="T191" s="224"/>
      <c r="U191" s="224"/>
      <c r="V191" s="224"/>
      <c r="W191" s="224"/>
      <c r="X191" s="224"/>
      <c r="Y191" s="224"/>
      <c r="Z191" s="225">
        <v>21</v>
      </c>
      <c r="AA191" s="225">
        <v>21</v>
      </c>
      <c r="AB191" s="224"/>
      <c r="AC191" s="224"/>
      <c r="AD191" s="224"/>
      <c r="AE191" s="224"/>
      <c r="AF191" s="224"/>
      <c r="AG191" s="224"/>
      <c r="AH191" s="224"/>
      <c r="AI191" s="224"/>
      <c r="AJ191" s="224"/>
      <c r="AK191" s="224"/>
      <c r="AL191" s="224"/>
      <c r="AM191" s="224"/>
      <c r="AN191" s="224"/>
      <c r="AO191" s="224"/>
      <c r="AP191" s="224"/>
      <c r="AQ191" s="224"/>
      <c r="AR191" s="224"/>
      <c r="AS191" s="224"/>
      <c r="AT191" s="224"/>
      <c r="AU191" s="224"/>
      <c r="AV191" s="224"/>
      <c r="AW191" s="224"/>
      <c r="AX191" s="224"/>
      <c r="AY191" s="224"/>
      <c r="AZ191" s="224"/>
      <c r="BA191" s="224"/>
      <c r="BB191" s="224"/>
      <c r="BC191" s="224"/>
      <c r="BD191" s="224"/>
      <c r="BE191" s="224"/>
      <c r="BF191" s="224"/>
      <c r="BG191" s="224"/>
      <c r="BH191" s="224"/>
      <c r="BI191" s="224"/>
      <c r="BJ191" s="225">
        <v>21</v>
      </c>
      <c r="BK191" s="225">
        <v>3</v>
      </c>
      <c r="BL191" s="224"/>
      <c r="BM191" s="225">
        <v>3.69</v>
      </c>
      <c r="BN191" s="225">
        <v>3.16</v>
      </c>
      <c r="BO191" s="224"/>
      <c r="BP191" s="225">
        <v>9.85</v>
      </c>
      <c r="BQ191" s="225">
        <v>9.85</v>
      </c>
      <c r="BR191" s="224"/>
      <c r="BS191" s="224"/>
      <c r="BT191" s="224"/>
      <c r="BU191" s="224"/>
      <c r="BV191" s="224"/>
      <c r="BW191" s="224"/>
      <c r="BX191" s="224"/>
      <c r="BY191" s="224"/>
      <c r="BZ191" s="224"/>
      <c r="CA191" s="224"/>
      <c r="CB191" s="224"/>
      <c r="CC191" s="224"/>
      <c r="CD191" s="226">
        <v>30.85</v>
      </c>
    </row>
    <row r="192" spans="1:82" x14ac:dyDescent="0.3">
      <c r="A192" s="221" t="str">
        <f t="shared" si="4"/>
        <v>NON ADDNSTC Crosscuts (excl. HSA)National Nanotechnology Initiative (NNI)NNI-Foundational Research</v>
      </c>
      <c r="B192" s="6" t="s">
        <v>223</v>
      </c>
      <c r="C192" s="6" t="s">
        <v>260</v>
      </c>
      <c r="D192" s="224" t="s">
        <v>261</v>
      </c>
      <c r="E192" s="224" t="s">
        <v>263</v>
      </c>
      <c r="F192" s="224"/>
      <c r="G192" s="224"/>
      <c r="H192" s="224"/>
      <c r="I192" s="224"/>
      <c r="J192" s="224"/>
      <c r="K192" s="225">
        <v>37.6</v>
      </c>
      <c r="L192" s="225">
        <v>37.6</v>
      </c>
      <c r="M192" s="224"/>
      <c r="N192" s="224"/>
      <c r="O192" s="224"/>
      <c r="P192" s="224"/>
      <c r="Q192" s="224"/>
      <c r="R192" s="225">
        <v>9.3290000000000006</v>
      </c>
      <c r="S192" s="225">
        <v>9.3290000000000006</v>
      </c>
      <c r="T192" s="224"/>
      <c r="U192" s="224"/>
      <c r="V192" s="224"/>
      <c r="W192" s="224"/>
      <c r="X192" s="224"/>
      <c r="Y192" s="224"/>
      <c r="Z192" s="225">
        <v>104</v>
      </c>
      <c r="AA192" s="225">
        <v>104</v>
      </c>
      <c r="AB192" s="224"/>
      <c r="AC192" s="224"/>
      <c r="AD192" s="224"/>
      <c r="AE192" s="224"/>
      <c r="AF192" s="224"/>
      <c r="AG192" s="224"/>
      <c r="AH192" s="224"/>
      <c r="AI192" s="224"/>
      <c r="AJ192" s="225">
        <v>42.09</v>
      </c>
      <c r="AK192" s="225">
        <v>118.73</v>
      </c>
      <c r="AL192" s="225">
        <v>0.5</v>
      </c>
      <c r="AM192" s="225">
        <v>0</v>
      </c>
      <c r="AN192" s="225">
        <v>16.91</v>
      </c>
      <c r="AO192" s="224"/>
      <c r="AP192" s="225">
        <v>178.23</v>
      </c>
      <c r="AQ192" s="225">
        <v>0</v>
      </c>
      <c r="AR192" s="224"/>
      <c r="AS192" s="224"/>
      <c r="AT192" s="225">
        <v>0</v>
      </c>
      <c r="AU192" s="224"/>
      <c r="AV192" s="225">
        <v>0</v>
      </c>
      <c r="AW192" s="224"/>
      <c r="AX192" s="224"/>
      <c r="AY192" s="225">
        <v>0.6</v>
      </c>
      <c r="AZ192" s="225">
        <v>0.6</v>
      </c>
      <c r="BA192" s="224"/>
      <c r="BB192" s="224"/>
      <c r="BC192" s="224"/>
      <c r="BD192" s="224"/>
      <c r="BE192" s="224"/>
      <c r="BF192" s="224"/>
      <c r="BG192" s="224"/>
      <c r="BH192" s="224"/>
      <c r="BI192" s="224"/>
      <c r="BJ192" s="225">
        <v>329.75900000000001</v>
      </c>
      <c r="BK192" s="224"/>
      <c r="BL192" s="224"/>
      <c r="BM192" s="224"/>
      <c r="BN192" s="224"/>
      <c r="BO192" s="224"/>
      <c r="BP192" s="224"/>
      <c r="BQ192" s="224"/>
      <c r="BR192" s="224"/>
      <c r="BS192" s="224"/>
      <c r="BT192" s="224"/>
      <c r="BU192" s="224"/>
      <c r="BV192" s="224"/>
      <c r="BW192" s="224"/>
      <c r="BX192" s="224"/>
      <c r="BY192" s="224"/>
      <c r="BZ192" s="224"/>
      <c r="CA192" s="224"/>
      <c r="CB192" s="224"/>
      <c r="CC192" s="224"/>
      <c r="CD192" s="226">
        <v>329.75900000000001</v>
      </c>
    </row>
    <row r="193" spans="1:82" x14ac:dyDescent="0.3">
      <c r="A193" s="221" t="str">
        <f t="shared" si="4"/>
        <v>NON ADDNSTC Crosscuts (excl. HSA)National Nanotechnology Initiative (NNI)NNI-Nanotechnology-Enabled Applications, Devices, and Systems</v>
      </c>
      <c r="B193" s="6" t="s">
        <v>223</v>
      </c>
      <c r="C193" s="6" t="s">
        <v>260</v>
      </c>
      <c r="D193" s="224" t="s">
        <v>261</v>
      </c>
      <c r="E193" s="224" t="s">
        <v>264</v>
      </c>
      <c r="F193" s="224"/>
      <c r="G193" s="224"/>
      <c r="H193" s="224"/>
      <c r="I193" s="224"/>
      <c r="J193" s="224"/>
      <c r="K193" s="224"/>
      <c r="L193" s="224"/>
      <c r="M193" s="224"/>
      <c r="N193" s="224"/>
      <c r="O193" s="224"/>
      <c r="P193" s="224"/>
      <c r="Q193" s="224"/>
      <c r="R193" s="225">
        <v>4.085</v>
      </c>
      <c r="S193" s="225">
        <v>4.085</v>
      </c>
      <c r="T193" s="224"/>
      <c r="U193" s="224"/>
      <c r="V193" s="224"/>
      <c r="W193" s="224"/>
      <c r="X193" s="224"/>
      <c r="Y193" s="224"/>
      <c r="Z193" s="225">
        <v>113</v>
      </c>
      <c r="AA193" s="225">
        <v>113</v>
      </c>
      <c r="AB193" s="224"/>
      <c r="AC193" s="224"/>
      <c r="AD193" s="224"/>
      <c r="AE193" s="224"/>
      <c r="AF193" s="224"/>
      <c r="AG193" s="224"/>
      <c r="AH193" s="224"/>
      <c r="AI193" s="224"/>
      <c r="AJ193" s="225">
        <v>3.99</v>
      </c>
      <c r="AK193" s="225">
        <v>15.53</v>
      </c>
      <c r="AL193" s="224"/>
      <c r="AM193" s="225">
        <v>0</v>
      </c>
      <c r="AN193" s="224"/>
      <c r="AO193" s="224"/>
      <c r="AP193" s="225">
        <v>19.52</v>
      </c>
      <c r="AQ193" s="224"/>
      <c r="AR193" s="224"/>
      <c r="AS193" s="224"/>
      <c r="AT193" s="224"/>
      <c r="AU193" s="224"/>
      <c r="AV193" s="224"/>
      <c r="AW193" s="224"/>
      <c r="AX193" s="224"/>
      <c r="AY193" s="225">
        <v>2.9</v>
      </c>
      <c r="AZ193" s="225">
        <v>2.9</v>
      </c>
      <c r="BA193" s="224"/>
      <c r="BB193" s="224"/>
      <c r="BC193" s="224"/>
      <c r="BD193" s="224"/>
      <c r="BE193" s="224"/>
      <c r="BF193" s="224"/>
      <c r="BG193" s="224"/>
      <c r="BH193" s="224"/>
      <c r="BI193" s="224"/>
      <c r="BJ193" s="225">
        <v>139.505</v>
      </c>
      <c r="BK193" s="224"/>
      <c r="BL193" s="224"/>
      <c r="BM193" s="224"/>
      <c r="BN193" s="224"/>
      <c r="BO193" s="224"/>
      <c r="BP193" s="224"/>
      <c r="BQ193" s="224"/>
      <c r="BR193" s="224"/>
      <c r="BS193" s="224"/>
      <c r="BT193" s="224"/>
      <c r="BU193" s="224"/>
      <c r="BV193" s="224"/>
      <c r="BW193" s="224"/>
      <c r="BX193" s="224"/>
      <c r="BY193" s="224"/>
      <c r="BZ193" s="224"/>
      <c r="CA193" s="224"/>
      <c r="CB193" s="224"/>
      <c r="CC193" s="224"/>
      <c r="CD193" s="226">
        <v>139.505</v>
      </c>
    </row>
    <row r="194" spans="1:82" x14ac:dyDescent="0.3">
      <c r="A194" s="221" t="str">
        <f t="shared" si="4"/>
        <v>NON ADDNSTC Crosscuts (excl. HSA)National Nanotechnology Initiative (NNI)NNI-Research Infrastructure and Instrumentation</v>
      </c>
      <c r="B194" s="6" t="s">
        <v>223</v>
      </c>
      <c r="C194" s="6" t="s">
        <v>260</v>
      </c>
      <c r="D194" s="224" t="s">
        <v>261</v>
      </c>
      <c r="E194" s="224" t="s">
        <v>265</v>
      </c>
      <c r="F194" s="224"/>
      <c r="G194" s="224"/>
      <c r="H194" s="224"/>
      <c r="I194" s="224"/>
      <c r="J194" s="224"/>
      <c r="K194" s="225">
        <v>2.35</v>
      </c>
      <c r="L194" s="225">
        <v>2.35</v>
      </c>
      <c r="M194" s="224"/>
      <c r="N194" s="224"/>
      <c r="O194" s="224"/>
      <c r="P194" s="224"/>
      <c r="Q194" s="224"/>
      <c r="R194" s="225">
        <v>2.21</v>
      </c>
      <c r="S194" s="225">
        <v>2.21</v>
      </c>
      <c r="T194" s="224"/>
      <c r="U194" s="224"/>
      <c r="V194" s="224"/>
      <c r="W194" s="224"/>
      <c r="X194" s="224"/>
      <c r="Y194" s="224"/>
      <c r="Z194" s="225">
        <v>14</v>
      </c>
      <c r="AA194" s="225">
        <v>14</v>
      </c>
      <c r="AB194" s="224"/>
      <c r="AC194" s="224"/>
      <c r="AD194" s="224"/>
      <c r="AE194" s="224"/>
      <c r="AF194" s="225">
        <v>0</v>
      </c>
      <c r="AG194" s="224"/>
      <c r="AH194" s="225">
        <v>0</v>
      </c>
      <c r="AI194" s="224"/>
      <c r="AJ194" s="225">
        <v>0</v>
      </c>
      <c r="AK194" s="225">
        <v>6.82</v>
      </c>
      <c r="AL194" s="224"/>
      <c r="AM194" s="224"/>
      <c r="AN194" s="225">
        <v>0</v>
      </c>
      <c r="AO194" s="224"/>
      <c r="AP194" s="225">
        <v>6.82</v>
      </c>
      <c r="AQ194" s="224"/>
      <c r="AR194" s="224"/>
      <c r="AS194" s="224"/>
      <c r="AT194" s="225">
        <v>0</v>
      </c>
      <c r="AU194" s="225">
        <v>0.4</v>
      </c>
      <c r="AV194" s="225">
        <v>0.4</v>
      </c>
      <c r="AW194" s="224"/>
      <c r="AX194" s="224"/>
      <c r="AY194" s="225">
        <v>0.8</v>
      </c>
      <c r="AZ194" s="225">
        <v>0.8</v>
      </c>
      <c r="BA194" s="225">
        <v>0.1</v>
      </c>
      <c r="BB194" s="225">
        <v>0.1</v>
      </c>
      <c r="BC194" s="224"/>
      <c r="BD194" s="224"/>
      <c r="BE194" s="224"/>
      <c r="BF194" s="224"/>
      <c r="BG194" s="224"/>
      <c r="BH194" s="224"/>
      <c r="BI194" s="224"/>
      <c r="BJ194" s="225">
        <v>26.68</v>
      </c>
      <c r="BK194" s="224"/>
      <c r="BL194" s="224"/>
      <c r="BM194" s="225">
        <v>1</v>
      </c>
      <c r="BN194" s="224"/>
      <c r="BO194" s="225">
        <v>0</v>
      </c>
      <c r="BP194" s="225">
        <v>1</v>
      </c>
      <c r="BQ194" s="225">
        <v>1</v>
      </c>
      <c r="BR194" s="224"/>
      <c r="BS194" s="224"/>
      <c r="BT194" s="224"/>
      <c r="BU194" s="224"/>
      <c r="BV194" s="224"/>
      <c r="BW194" s="224"/>
      <c r="BX194" s="224"/>
      <c r="BY194" s="224"/>
      <c r="BZ194" s="224"/>
      <c r="CA194" s="224"/>
      <c r="CB194" s="224"/>
      <c r="CC194" s="224"/>
      <c r="CD194" s="226">
        <v>27.68</v>
      </c>
    </row>
    <row r="195" spans="1:82" x14ac:dyDescent="0.3">
      <c r="A195" s="221" t="str">
        <f t="shared" si="4"/>
        <v>NON ADDNSTC Crosscuts (excl. HSA)National Nanotechnology Initiative (NNI)NNI-Responsible Development</v>
      </c>
      <c r="B195" s="6" t="s">
        <v>223</v>
      </c>
      <c r="C195" s="6" t="s">
        <v>260</v>
      </c>
      <c r="D195" s="224" t="s">
        <v>261</v>
      </c>
      <c r="E195" s="224" t="s">
        <v>266</v>
      </c>
      <c r="F195" s="224"/>
      <c r="G195" s="224"/>
      <c r="H195" s="224"/>
      <c r="I195" s="224"/>
      <c r="J195" s="224"/>
      <c r="K195" s="224"/>
      <c r="L195" s="224"/>
      <c r="M195" s="224"/>
      <c r="N195" s="224"/>
      <c r="O195" s="224"/>
      <c r="P195" s="224"/>
      <c r="Q195" s="224"/>
      <c r="R195" s="224"/>
      <c r="S195" s="224"/>
      <c r="T195" s="224"/>
      <c r="U195" s="224"/>
      <c r="V195" s="224"/>
      <c r="W195" s="224"/>
      <c r="X195" s="224"/>
      <c r="Y195" s="224"/>
      <c r="Z195" s="225">
        <v>15.13</v>
      </c>
      <c r="AA195" s="225">
        <v>15.13</v>
      </c>
      <c r="AB195" s="224"/>
      <c r="AC195" s="224"/>
      <c r="AD195" s="224"/>
      <c r="AE195" s="224"/>
      <c r="AF195" s="224"/>
      <c r="AG195" s="224"/>
      <c r="AH195" s="224"/>
      <c r="AI195" s="224"/>
      <c r="AJ195" s="225">
        <v>1.6</v>
      </c>
      <c r="AK195" s="225">
        <v>0</v>
      </c>
      <c r="AL195" s="224"/>
      <c r="AM195" s="224"/>
      <c r="AN195" s="224"/>
      <c r="AO195" s="224"/>
      <c r="AP195" s="225">
        <v>1.6</v>
      </c>
      <c r="AQ195" s="224"/>
      <c r="AR195" s="224"/>
      <c r="AS195" s="224"/>
      <c r="AT195" s="224"/>
      <c r="AU195" s="224"/>
      <c r="AV195" s="224"/>
      <c r="AW195" s="224"/>
      <c r="AX195" s="224"/>
      <c r="AY195" s="225">
        <v>0.6</v>
      </c>
      <c r="AZ195" s="225">
        <v>0.6</v>
      </c>
      <c r="BA195" s="224"/>
      <c r="BB195" s="224"/>
      <c r="BC195" s="224"/>
      <c r="BD195" s="224"/>
      <c r="BE195" s="224"/>
      <c r="BF195" s="224"/>
      <c r="BG195" s="224"/>
      <c r="BH195" s="224"/>
      <c r="BI195" s="224"/>
      <c r="BJ195" s="225">
        <v>17.329999999999998</v>
      </c>
      <c r="BK195" s="224"/>
      <c r="BL195" s="224"/>
      <c r="BM195" s="224"/>
      <c r="BN195" s="224"/>
      <c r="BO195" s="224"/>
      <c r="BP195" s="224"/>
      <c r="BQ195" s="224"/>
      <c r="BR195" s="224"/>
      <c r="BS195" s="224"/>
      <c r="BT195" s="224"/>
      <c r="BU195" s="224"/>
      <c r="BV195" s="224"/>
      <c r="BW195" s="224"/>
      <c r="BX195" s="224"/>
      <c r="BY195" s="224"/>
      <c r="BZ195" s="224"/>
      <c r="CA195" s="224"/>
      <c r="CB195" s="224"/>
      <c r="CC195" s="224"/>
      <c r="CD195" s="226">
        <v>17.329999999999998</v>
      </c>
    </row>
    <row r="196" spans="1:82" x14ac:dyDescent="0.3">
      <c r="A196" s="221" t="str">
        <f t="shared" si="4"/>
        <v>NON ADDNSTC Crosscuts (excl. HSA)Networking &amp; Information Technology R&amp;D (NITRD)Total</v>
      </c>
      <c r="B196" s="6" t="s">
        <v>223</v>
      </c>
      <c r="C196" s="6" t="s">
        <v>260</v>
      </c>
      <c r="D196" s="224" t="s">
        <v>267</v>
      </c>
      <c r="E196" s="6" t="s">
        <v>24</v>
      </c>
      <c r="F196" s="224"/>
      <c r="G196" s="224"/>
      <c r="H196" s="224"/>
      <c r="I196" s="224"/>
      <c r="J196" s="224"/>
      <c r="K196" s="225">
        <v>79</v>
      </c>
      <c r="L196" s="225">
        <v>79</v>
      </c>
      <c r="M196" s="224"/>
      <c r="N196" s="224"/>
      <c r="O196" s="224"/>
      <c r="P196" s="224"/>
      <c r="Q196" s="224"/>
      <c r="R196" s="225">
        <v>1015.57</v>
      </c>
      <c r="S196" s="225">
        <v>1015.57</v>
      </c>
      <c r="T196" s="224"/>
      <c r="U196" s="224"/>
      <c r="V196" s="224"/>
      <c r="W196" s="224"/>
      <c r="X196" s="224"/>
      <c r="Y196" s="224"/>
      <c r="Z196" s="225">
        <v>167.42</v>
      </c>
      <c r="AA196" s="225">
        <v>167.42</v>
      </c>
      <c r="AB196" s="224"/>
      <c r="AC196" s="224"/>
      <c r="AD196" s="224"/>
      <c r="AE196" s="224"/>
      <c r="AF196" s="224"/>
      <c r="AG196" s="225">
        <v>23</v>
      </c>
      <c r="AH196" s="225">
        <v>23</v>
      </c>
      <c r="AI196" s="225">
        <v>11.03</v>
      </c>
      <c r="AJ196" s="225">
        <v>122.72</v>
      </c>
      <c r="AK196" s="225">
        <v>108.45</v>
      </c>
      <c r="AL196" s="225">
        <v>28.73</v>
      </c>
      <c r="AM196" s="225">
        <v>21.03</v>
      </c>
      <c r="AN196" s="225">
        <v>53.8</v>
      </c>
      <c r="AO196" s="224"/>
      <c r="AP196" s="225">
        <v>345.76</v>
      </c>
      <c r="AQ196" s="225">
        <v>0</v>
      </c>
      <c r="AR196" s="225">
        <v>0</v>
      </c>
      <c r="AS196" s="225">
        <v>0</v>
      </c>
      <c r="AT196" s="225">
        <v>0</v>
      </c>
      <c r="AU196" s="225">
        <v>41.89</v>
      </c>
      <c r="AV196" s="225">
        <v>41.89</v>
      </c>
      <c r="AW196" s="224"/>
      <c r="AX196" s="224"/>
      <c r="AY196" s="225">
        <v>224.1</v>
      </c>
      <c r="AZ196" s="225">
        <v>224.1</v>
      </c>
      <c r="BA196" s="224"/>
      <c r="BB196" s="224"/>
      <c r="BC196" s="225">
        <v>14.3</v>
      </c>
      <c r="BD196" s="224"/>
      <c r="BE196" s="225">
        <v>14.3</v>
      </c>
      <c r="BF196" s="224"/>
      <c r="BG196" s="224"/>
      <c r="BH196" s="224"/>
      <c r="BI196" s="224"/>
      <c r="BJ196" s="225">
        <v>1911.04</v>
      </c>
      <c r="BK196" s="224"/>
      <c r="BL196" s="225">
        <v>17.649999999999999</v>
      </c>
      <c r="BM196" s="224"/>
      <c r="BN196" s="224"/>
      <c r="BO196" s="224"/>
      <c r="BP196" s="225">
        <v>17.649999999999999</v>
      </c>
      <c r="BQ196" s="225">
        <v>17.649999999999999</v>
      </c>
      <c r="BR196" s="224"/>
      <c r="BS196" s="224"/>
      <c r="BT196" s="224"/>
      <c r="BU196" s="224"/>
      <c r="BV196" s="224"/>
      <c r="BW196" s="224"/>
      <c r="BX196" s="224"/>
      <c r="BY196" s="224"/>
      <c r="BZ196" s="224"/>
      <c r="CA196" s="224"/>
      <c r="CB196" s="224"/>
      <c r="CC196" s="224"/>
      <c r="CD196" s="226">
        <v>1928.69</v>
      </c>
    </row>
    <row r="197" spans="1:82" x14ac:dyDescent="0.3">
      <c r="A197" s="221" t="str">
        <f t="shared" si="4"/>
        <v>NON ADDNSTC Crosscuts (excl. HSA)TotalNITRD-ACNS-Advanced Communication Networks and Systems</v>
      </c>
      <c r="B197" s="6" t="s">
        <v>223</v>
      </c>
      <c r="C197" s="6" t="s">
        <v>260</v>
      </c>
      <c r="D197" s="6" t="s">
        <v>24</v>
      </c>
      <c r="E197" s="224" t="s">
        <v>268</v>
      </c>
      <c r="F197" s="224"/>
      <c r="G197" s="224"/>
      <c r="H197" s="224"/>
      <c r="I197" s="224"/>
      <c r="J197" s="224"/>
      <c r="K197" s="224"/>
      <c r="L197" s="224"/>
      <c r="M197" s="224"/>
      <c r="N197" s="224"/>
      <c r="O197" s="224"/>
      <c r="P197" s="224"/>
      <c r="Q197" s="224"/>
      <c r="R197" s="225">
        <v>139.62299999999999</v>
      </c>
      <c r="S197" s="225">
        <v>139.62299999999999</v>
      </c>
      <c r="T197" s="224"/>
      <c r="U197" s="224"/>
      <c r="V197" s="224"/>
      <c r="W197" s="224"/>
      <c r="X197" s="224"/>
      <c r="Y197" s="224"/>
      <c r="Z197" s="225">
        <v>26</v>
      </c>
      <c r="AA197" s="225">
        <v>26</v>
      </c>
      <c r="AB197" s="224"/>
      <c r="AC197" s="224"/>
      <c r="AD197" s="224"/>
      <c r="AE197" s="224"/>
      <c r="AF197" s="224"/>
      <c r="AG197" s="224"/>
      <c r="AH197" s="224"/>
      <c r="AI197" s="224"/>
      <c r="AJ197" s="224"/>
      <c r="AK197" s="224"/>
      <c r="AL197" s="224"/>
      <c r="AM197" s="225">
        <v>17</v>
      </c>
      <c r="AN197" s="224"/>
      <c r="AO197" s="224"/>
      <c r="AP197" s="225">
        <v>17</v>
      </c>
      <c r="AQ197" s="224"/>
      <c r="AR197" s="224"/>
      <c r="AS197" s="224"/>
      <c r="AT197" s="224"/>
      <c r="AU197" s="225">
        <v>0</v>
      </c>
      <c r="AV197" s="225">
        <v>0</v>
      </c>
      <c r="AW197" s="224"/>
      <c r="AX197" s="224"/>
      <c r="AY197" s="225">
        <v>30</v>
      </c>
      <c r="AZ197" s="225">
        <v>30</v>
      </c>
      <c r="BA197" s="224"/>
      <c r="BB197" s="224"/>
      <c r="BC197" s="224"/>
      <c r="BD197" s="224"/>
      <c r="BE197" s="224"/>
      <c r="BF197" s="224"/>
      <c r="BG197" s="224"/>
      <c r="BH197" s="224"/>
      <c r="BI197" s="224"/>
      <c r="BJ197" s="225">
        <v>212.62299999999999</v>
      </c>
      <c r="BK197" s="224"/>
      <c r="BL197" s="224"/>
      <c r="BM197" s="224"/>
      <c r="BN197" s="224"/>
      <c r="BO197" s="224"/>
      <c r="BP197" s="224"/>
      <c r="BQ197" s="224"/>
      <c r="BR197" s="224"/>
      <c r="BS197" s="224"/>
      <c r="BT197" s="224"/>
      <c r="BU197" s="224"/>
      <c r="BV197" s="224"/>
      <c r="BW197" s="224"/>
      <c r="BX197" s="224"/>
      <c r="BY197" s="224"/>
      <c r="BZ197" s="224"/>
      <c r="CA197" s="224"/>
      <c r="CB197" s="224"/>
      <c r="CC197" s="224"/>
      <c r="CD197" s="226">
        <v>212.62299999999999</v>
      </c>
    </row>
    <row r="198" spans="1:82" x14ac:dyDescent="0.3">
      <c r="A198" s="221" t="str">
        <f t="shared" si="4"/>
        <v>NON ADDNSTC Crosscuts (excl. HSA)TotalNITRD-AI-Artificial Intelligence</v>
      </c>
      <c r="B198" s="6" t="s">
        <v>223</v>
      </c>
      <c r="C198" s="6" t="s">
        <v>260</v>
      </c>
      <c r="D198" s="6" t="s">
        <v>24</v>
      </c>
      <c r="E198" s="224" t="s">
        <v>269</v>
      </c>
      <c r="F198" s="224"/>
      <c r="G198" s="224"/>
      <c r="H198" s="224"/>
      <c r="I198" s="224"/>
      <c r="J198" s="224"/>
      <c r="K198" s="225">
        <v>12</v>
      </c>
      <c r="L198" s="225">
        <v>12</v>
      </c>
      <c r="M198" s="224"/>
      <c r="N198" s="224"/>
      <c r="O198" s="224"/>
      <c r="P198" s="224"/>
      <c r="Q198" s="224"/>
      <c r="R198" s="225">
        <v>159.81700000000001</v>
      </c>
      <c r="S198" s="225">
        <v>159.81700000000001</v>
      </c>
      <c r="T198" s="224"/>
      <c r="U198" s="224"/>
      <c r="V198" s="224"/>
      <c r="W198" s="224"/>
      <c r="X198" s="224"/>
      <c r="Y198" s="224"/>
      <c r="Z198" s="225">
        <v>79.78</v>
      </c>
      <c r="AA198" s="225">
        <v>79.78</v>
      </c>
      <c r="AB198" s="224"/>
      <c r="AC198" s="224"/>
      <c r="AD198" s="224"/>
      <c r="AE198" s="224"/>
      <c r="AF198" s="224"/>
      <c r="AG198" s="225">
        <v>1</v>
      </c>
      <c r="AH198" s="225">
        <v>1</v>
      </c>
      <c r="AI198" s="225">
        <v>5.89</v>
      </c>
      <c r="AJ198" s="225">
        <v>23.34</v>
      </c>
      <c r="AK198" s="225">
        <v>58.46</v>
      </c>
      <c r="AL198" s="225">
        <v>18.47</v>
      </c>
      <c r="AM198" s="225">
        <v>4.03</v>
      </c>
      <c r="AN198" s="225">
        <v>23.5</v>
      </c>
      <c r="AO198" s="224"/>
      <c r="AP198" s="225">
        <v>133.69</v>
      </c>
      <c r="AQ198" s="224"/>
      <c r="AR198" s="224"/>
      <c r="AS198" s="224"/>
      <c r="AT198" s="224"/>
      <c r="AU198" s="225">
        <v>4.95</v>
      </c>
      <c r="AV198" s="225">
        <v>4.95</v>
      </c>
      <c r="AW198" s="224"/>
      <c r="AX198" s="224"/>
      <c r="AY198" s="225">
        <v>100</v>
      </c>
      <c r="AZ198" s="225">
        <v>100</v>
      </c>
      <c r="BA198" s="224"/>
      <c r="BB198" s="224"/>
      <c r="BC198" s="225">
        <v>7.68</v>
      </c>
      <c r="BD198" s="224"/>
      <c r="BE198" s="225">
        <v>7.68</v>
      </c>
      <c r="BF198" s="224"/>
      <c r="BG198" s="224"/>
      <c r="BH198" s="224"/>
      <c r="BI198" s="224"/>
      <c r="BJ198" s="225">
        <v>498.91699999999997</v>
      </c>
      <c r="BK198" s="224"/>
      <c r="BL198" s="225">
        <v>7.61</v>
      </c>
      <c r="BM198" s="224"/>
      <c r="BN198" s="224"/>
      <c r="BO198" s="224"/>
      <c r="BP198" s="225">
        <v>7.61</v>
      </c>
      <c r="BQ198" s="225">
        <v>7.61</v>
      </c>
      <c r="BR198" s="224"/>
      <c r="BS198" s="224"/>
      <c r="BT198" s="224"/>
      <c r="BU198" s="224"/>
      <c r="BV198" s="224"/>
      <c r="BW198" s="224"/>
      <c r="BX198" s="224"/>
      <c r="BY198" s="224"/>
      <c r="BZ198" s="224"/>
      <c r="CA198" s="224"/>
      <c r="CB198" s="224"/>
      <c r="CC198" s="224"/>
      <c r="CD198" s="226">
        <v>506.52699999999999</v>
      </c>
    </row>
    <row r="199" spans="1:82" x14ac:dyDescent="0.3">
      <c r="A199" s="221" t="str">
        <f t="shared" si="4"/>
        <v>NON ADDNSTC Crosscuts (excl. HSA)TotalNITRD-C-HUMAN-Computing-Enabled Human Interaction, Communications, Augmentation</v>
      </c>
      <c r="B199" s="6" t="s">
        <v>223</v>
      </c>
      <c r="C199" s="6" t="s">
        <v>260</v>
      </c>
      <c r="D199" s="6" t="s">
        <v>24</v>
      </c>
      <c r="E199" s="224" t="s">
        <v>270</v>
      </c>
      <c r="F199" s="224"/>
      <c r="G199" s="224"/>
      <c r="H199" s="224"/>
      <c r="I199" s="224"/>
      <c r="J199" s="224"/>
      <c r="K199" s="224"/>
      <c r="L199" s="224"/>
      <c r="M199" s="224"/>
      <c r="N199" s="224"/>
      <c r="O199" s="224"/>
      <c r="P199" s="224"/>
      <c r="Q199" s="224"/>
      <c r="R199" s="225">
        <v>64.989000000000004</v>
      </c>
      <c r="S199" s="225">
        <v>64.989000000000004</v>
      </c>
      <c r="T199" s="224"/>
      <c r="U199" s="224"/>
      <c r="V199" s="224"/>
      <c r="W199" s="224"/>
      <c r="X199" s="224"/>
      <c r="Y199" s="224"/>
      <c r="Z199" s="225">
        <v>13.92</v>
      </c>
      <c r="AA199" s="225">
        <v>13.92</v>
      </c>
      <c r="AB199" s="224"/>
      <c r="AC199" s="224"/>
      <c r="AD199" s="224"/>
      <c r="AE199" s="224"/>
      <c r="AF199" s="224"/>
      <c r="AG199" s="224"/>
      <c r="AH199" s="224"/>
      <c r="AI199" s="224"/>
      <c r="AJ199" s="224"/>
      <c r="AK199" s="224"/>
      <c r="AL199" s="224"/>
      <c r="AM199" s="224"/>
      <c r="AN199" s="224"/>
      <c r="AO199" s="224"/>
      <c r="AP199" s="224"/>
      <c r="AQ199" s="224"/>
      <c r="AR199" s="224"/>
      <c r="AS199" s="224"/>
      <c r="AT199" s="224"/>
      <c r="AU199" s="225">
        <v>19.940000000000001</v>
      </c>
      <c r="AV199" s="225">
        <v>19.940000000000001</v>
      </c>
      <c r="AW199" s="224"/>
      <c r="AX199" s="224"/>
      <c r="AY199" s="225">
        <v>12.2</v>
      </c>
      <c r="AZ199" s="225">
        <v>12.2</v>
      </c>
      <c r="BA199" s="224"/>
      <c r="BB199" s="224"/>
      <c r="BC199" s="224"/>
      <c r="BD199" s="224"/>
      <c r="BE199" s="224"/>
      <c r="BF199" s="224"/>
      <c r="BG199" s="224"/>
      <c r="BH199" s="224"/>
      <c r="BI199" s="224"/>
      <c r="BJ199" s="225">
        <v>111.04900000000001</v>
      </c>
      <c r="BK199" s="224"/>
      <c r="BL199" s="224"/>
      <c r="BM199" s="224"/>
      <c r="BN199" s="224"/>
      <c r="BO199" s="224"/>
      <c r="BP199" s="224"/>
      <c r="BQ199" s="224"/>
      <c r="BR199" s="224"/>
      <c r="BS199" s="224"/>
      <c r="BT199" s="224"/>
      <c r="BU199" s="224"/>
      <c r="BV199" s="224"/>
      <c r="BW199" s="224"/>
      <c r="BX199" s="224"/>
      <c r="BY199" s="224"/>
      <c r="BZ199" s="224"/>
      <c r="CA199" s="224"/>
      <c r="CB199" s="224"/>
      <c r="CC199" s="224"/>
      <c r="CD199" s="226">
        <v>111.04900000000001</v>
      </c>
    </row>
    <row r="200" spans="1:82" x14ac:dyDescent="0.3">
      <c r="A200" s="221" t="str">
        <f t="shared" si="4"/>
        <v>NON ADDNSTC Crosscuts (excl. HSA)TotalNITRD-CNPS-Computing-Enabled Networked Physical Systems</v>
      </c>
      <c r="B200" s="6" t="s">
        <v>223</v>
      </c>
      <c r="C200" s="6" t="s">
        <v>260</v>
      </c>
      <c r="D200" s="6" t="s">
        <v>24</v>
      </c>
      <c r="E200" s="224" t="s">
        <v>271</v>
      </c>
      <c r="F200" s="224"/>
      <c r="G200" s="224"/>
      <c r="H200" s="224"/>
      <c r="I200" s="224"/>
      <c r="J200" s="224"/>
      <c r="K200" s="225">
        <v>1</v>
      </c>
      <c r="L200" s="225">
        <v>1</v>
      </c>
      <c r="M200" s="224"/>
      <c r="N200" s="224"/>
      <c r="O200" s="224"/>
      <c r="P200" s="224"/>
      <c r="Q200" s="224"/>
      <c r="R200" s="225">
        <v>65.519000000000005</v>
      </c>
      <c r="S200" s="225">
        <v>65.519000000000005</v>
      </c>
      <c r="T200" s="224"/>
      <c r="U200" s="224"/>
      <c r="V200" s="224"/>
      <c r="W200" s="224"/>
      <c r="X200" s="224"/>
      <c r="Y200" s="224"/>
      <c r="Z200" s="225">
        <v>10.19</v>
      </c>
      <c r="AA200" s="225">
        <v>10.19</v>
      </c>
      <c r="AB200" s="224"/>
      <c r="AC200" s="224"/>
      <c r="AD200" s="224"/>
      <c r="AE200" s="224"/>
      <c r="AF200" s="224"/>
      <c r="AG200" s="224"/>
      <c r="AH200" s="224"/>
      <c r="AI200" s="224"/>
      <c r="AJ200" s="224"/>
      <c r="AK200" s="224"/>
      <c r="AL200" s="224"/>
      <c r="AM200" s="224"/>
      <c r="AN200" s="224"/>
      <c r="AO200" s="224"/>
      <c r="AP200" s="224"/>
      <c r="AQ200" s="224"/>
      <c r="AR200" s="224"/>
      <c r="AS200" s="224"/>
      <c r="AT200" s="224"/>
      <c r="AU200" s="224"/>
      <c r="AV200" s="224"/>
      <c r="AW200" s="224"/>
      <c r="AX200" s="224"/>
      <c r="AY200" s="225">
        <v>5.2</v>
      </c>
      <c r="AZ200" s="225">
        <v>5.2</v>
      </c>
      <c r="BA200" s="224"/>
      <c r="BB200" s="224"/>
      <c r="BC200" s="225">
        <v>1</v>
      </c>
      <c r="BD200" s="224"/>
      <c r="BE200" s="225">
        <v>1</v>
      </c>
      <c r="BF200" s="224"/>
      <c r="BG200" s="224"/>
      <c r="BH200" s="224"/>
      <c r="BI200" s="224"/>
      <c r="BJ200" s="225">
        <v>82.909000000000006</v>
      </c>
      <c r="BK200" s="224"/>
      <c r="BL200" s="224"/>
      <c r="BM200" s="224"/>
      <c r="BN200" s="224"/>
      <c r="BO200" s="224"/>
      <c r="BP200" s="224"/>
      <c r="BQ200" s="224"/>
      <c r="BR200" s="224"/>
      <c r="BS200" s="224"/>
      <c r="BT200" s="224"/>
      <c r="BU200" s="224"/>
      <c r="BV200" s="224"/>
      <c r="BW200" s="224"/>
      <c r="BX200" s="224"/>
      <c r="BY200" s="224"/>
      <c r="BZ200" s="224"/>
      <c r="CA200" s="224"/>
      <c r="CB200" s="224"/>
      <c r="CC200" s="224"/>
      <c r="CD200" s="226">
        <v>82.909000000000006</v>
      </c>
    </row>
    <row r="201" spans="1:82" x14ac:dyDescent="0.3">
      <c r="A201" s="221" t="str">
        <f t="shared" si="4"/>
        <v>NON ADDNSTC Crosscuts (excl. HSA)TotalNITRD-CSP-Cyber Security &amp; Privacy</v>
      </c>
      <c r="B201" s="6" t="s">
        <v>223</v>
      </c>
      <c r="C201" s="6" t="s">
        <v>260</v>
      </c>
      <c r="D201" s="6" t="s">
        <v>24</v>
      </c>
      <c r="E201" s="224" t="s">
        <v>272</v>
      </c>
      <c r="F201" s="224"/>
      <c r="G201" s="224"/>
      <c r="H201" s="224"/>
      <c r="I201" s="224"/>
      <c r="J201" s="224"/>
      <c r="K201" s="224"/>
      <c r="L201" s="224"/>
      <c r="M201" s="224"/>
      <c r="N201" s="224"/>
      <c r="O201" s="224"/>
      <c r="P201" s="224"/>
      <c r="Q201" s="224"/>
      <c r="R201" s="225">
        <v>92.259</v>
      </c>
      <c r="S201" s="225">
        <v>92.259</v>
      </c>
      <c r="T201" s="224"/>
      <c r="U201" s="224"/>
      <c r="V201" s="224"/>
      <c r="W201" s="224"/>
      <c r="X201" s="224"/>
      <c r="Y201" s="224"/>
      <c r="Z201" s="225">
        <v>1.72</v>
      </c>
      <c r="AA201" s="225">
        <v>1.72</v>
      </c>
      <c r="AB201" s="224"/>
      <c r="AC201" s="224"/>
      <c r="AD201" s="224"/>
      <c r="AE201" s="224"/>
      <c r="AF201" s="224"/>
      <c r="AG201" s="224"/>
      <c r="AH201" s="224"/>
      <c r="AI201" s="224"/>
      <c r="AJ201" s="224"/>
      <c r="AK201" s="224"/>
      <c r="AL201" s="225">
        <v>1.27</v>
      </c>
      <c r="AM201" s="224"/>
      <c r="AN201" s="224"/>
      <c r="AO201" s="224"/>
      <c r="AP201" s="225">
        <v>1.27</v>
      </c>
      <c r="AQ201" s="225">
        <v>0</v>
      </c>
      <c r="AR201" s="224"/>
      <c r="AS201" s="225">
        <v>0</v>
      </c>
      <c r="AT201" s="225">
        <v>0</v>
      </c>
      <c r="AU201" s="225">
        <v>6.34</v>
      </c>
      <c r="AV201" s="225">
        <v>6.34</v>
      </c>
      <c r="AW201" s="224"/>
      <c r="AX201" s="224"/>
      <c r="AY201" s="225">
        <v>17.5</v>
      </c>
      <c r="AZ201" s="225">
        <v>17.5</v>
      </c>
      <c r="BA201" s="224"/>
      <c r="BB201" s="224"/>
      <c r="BC201" s="225">
        <v>0.95</v>
      </c>
      <c r="BD201" s="224"/>
      <c r="BE201" s="225">
        <v>0.95</v>
      </c>
      <c r="BF201" s="224"/>
      <c r="BG201" s="224"/>
      <c r="BH201" s="224"/>
      <c r="BI201" s="224"/>
      <c r="BJ201" s="225">
        <v>120.039</v>
      </c>
      <c r="BK201" s="224"/>
      <c r="BL201" s="224"/>
      <c r="BM201" s="224"/>
      <c r="BN201" s="224"/>
      <c r="BO201" s="224"/>
      <c r="BP201" s="224"/>
      <c r="BQ201" s="224"/>
      <c r="BR201" s="224"/>
      <c r="BS201" s="224"/>
      <c r="BT201" s="224"/>
      <c r="BU201" s="224"/>
      <c r="BV201" s="224"/>
      <c r="BW201" s="224"/>
      <c r="BX201" s="224"/>
      <c r="BY201" s="224"/>
      <c r="BZ201" s="224"/>
      <c r="CA201" s="224"/>
      <c r="CB201" s="224"/>
      <c r="CC201" s="224"/>
      <c r="CD201" s="226">
        <v>120.039</v>
      </c>
    </row>
    <row r="202" spans="1:82" x14ac:dyDescent="0.3">
      <c r="A202" s="221" t="str">
        <f t="shared" ref="A202:A253" si="5">CONCATENATE(B202,C202,D202,E202)</f>
        <v>NON ADDNSTC Crosscuts (excl. HSA)TotalNITRD-EdW-Education and Workforce</v>
      </c>
      <c r="B202" s="6" t="s">
        <v>223</v>
      </c>
      <c r="C202" s="6" t="s">
        <v>260</v>
      </c>
      <c r="D202" s="6" t="s">
        <v>24</v>
      </c>
      <c r="E202" s="224" t="s">
        <v>273</v>
      </c>
      <c r="F202" s="224"/>
      <c r="G202" s="224"/>
      <c r="H202" s="224"/>
      <c r="I202" s="224"/>
      <c r="J202" s="224"/>
      <c r="K202" s="225">
        <v>6</v>
      </c>
      <c r="L202" s="225">
        <v>6</v>
      </c>
      <c r="M202" s="224"/>
      <c r="N202" s="224"/>
      <c r="O202" s="224"/>
      <c r="P202" s="224"/>
      <c r="Q202" s="224"/>
      <c r="R202" s="225">
        <v>70.260999999999996</v>
      </c>
      <c r="S202" s="225">
        <v>70.260999999999996</v>
      </c>
      <c r="T202" s="224"/>
      <c r="U202" s="224"/>
      <c r="V202" s="224"/>
      <c r="W202" s="224"/>
      <c r="X202" s="224"/>
      <c r="Y202" s="224"/>
      <c r="Z202" s="225">
        <v>3.74</v>
      </c>
      <c r="AA202" s="225">
        <v>3.74</v>
      </c>
      <c r="AB202" s="224"/>
      <c r="AC202" s="224"/>
      <c r="AD202" s="224"/>
      <c r="AE202" s="224"/>
      <c r="AF202" s="224"/>
      <c r="AG202" s="224"/>
      <c r="AH202" s="224"/>
      <c r="AI202" s="224"/>
      <c r="AJ202" s="224"/>
      <c r="AK202" s="224"/>
      <c r="AL202" s="224"/>
      <c r="AM202" s="224"/>
      <c r="AN202" s="224"/>
      <c r="AO202" s="224"/>
      <c r="AP202" s="224"/>
      <c r="AQ202" s="224"/>
      <c r="AR202" s="224"/>
      <c r="AS202" s="224"/>
      <c r="AT202" s="224"/>
      <c r="AU202" s="224"/>
      <c r="AV202" s="224"/>
      <c r="AW202" s="224"/>
      <c r="AX202" s="224"/>
      <c r="AY202" s="225">
        <v>5.6</v>
      </c>
      <c r="AZ202" s="225">
        <v>5.6</v>
      </c>
      <c r="BA202" s="224"/>
      <c r="BB202" s="224"/>
      <c r="BC202" s="224"/>
      <c r="BD202" s="224"/>
      <c r="BE202" s="224"/>
      <c r="BF202" s="224"/>
      <c r="BG202" s="224"/>
      <c r="BH202" s="224"/>
      <c r="BI202" s="224"/>
      <c r="BJ202" s="225">
        <v>85.600999999999999</v>
      </c>
      <c r="BK202" s="224"/>
      <c r="BL202" s="225">
        <v>10.039999999999999</v>
      </c>
      <c r="BM202" s="224"/>
      <c r="BN202" s="224"/>
      <c r="BO202" s="224"/>
      <c r="BP202" s="225">
        <v>10.039999999999999</v>
      </c>
      <c r="BQ202" s="225">
        <v>10.039999999999999</v>
      </c>
      <c r="BR202" s="224"/>
      <c r="BS202" s="224"/>
      <c r="BT202" s="224"/>
      <c r="BU202" s="224"/>
      <c r="BV202" s="224"/>
      <c r="BW202" s="224"/>
      <c r="BX202" s="224"/>
      <c r="BY202" s="224"/>
      <c r="BZ202" s="224"/>
      <c r="CA202" s="224"/>
      <c r="CB202" s="224"/>
      <c r="CC202" s="224"/>
      <c r="CD202" s="226">
        <v>95.641000000000005</v>
      </c>
    </row>
    <row r="203" spans="1:82" x14ac:dyDescent="0.3">
      <c r="A203" s="221" t="str">
        <f t="shared" si="5"/>
        <v>NON ADDNSTC Crosscuts (excl. HSA)TotalNITRD-EHCS-Enabling-R&amp;D for High-Capability Computing System</v>
      </c>
      <c r="B203" s="6" t="s">
        <v>223</v>
      </c>
      <c r="C203" s="6" t="s">
        <v>260</v>
      </c>
      <c r="D203" s="6" t="s">
        <v>24</v>
      </c>
      <c r="E203" s="224" t="s">
        <v>274</v>
      </c>
      <c r="F203" s="224"/>
      <c r="G203" s="224"/>
      <c r="H203" s="224"/>
      <c r="I203" s="224"/>
      <c r="J203" s="224"/>
      <c r="K203" s="224"/>
      <c r="L203" s="224"/>
      <c r="M203" s="224"/>
      <c r="N203" s="224"/>
      <c r="O203" s="224"/>
      <c r="P203" s="224"/>
      <c r="Q203" s="224"/>
      <c r="R203" s="225">
        <v>107.33499999999999</v>
      </c>
      <c r="S203" s="225">
        <v>107.33499999999999</v>
      </c>
      <c r="T203" s="224"/>
      <c r="U203" s="224"/>
      <c r="V203" s="224"/>
      <c r="W203" s="224"/>
      <c r="X203" s="224"/>
      <c r="Y203" s="224"/>
      <c r="Z203" s="225">
        <v>1.67</v>
      </c>
      <c r="AA203" s="225">
        <v>1.67</v>
      </c>
      <c r="AB203" s="224"/>
      <c r="AC203" s="224"/>
      <c r="AD203" s="224"/>
      <c r="AE203" s="224"/>
      <c r="AF203" s="224"/>
      <c r="AG203" s="224"/>
      <c r="AH203" s="224"/>
      <c r="AI203" s="224"/>
      <c r="AJ203" s="225">
        <v>61.6</v>
      </c>
      <c r="AK203" s="225">
        <v>0.03</v>
      </c>
      <c r="AL203" s="225">
        <v>6.02</v>
      </c>
      <c r="AM203" s="224"/>
      <c r="AN203" s="224"/>
      <c r="AO203" s="224"/>
      <c r="AP203" s="225">
        <v>67.650000000000006</v>
      </c>
      <c r="AQ203" s="224"/>
      <c r="AR203" s="224"/>
      <c r="AS203" s="224"/>
      <c r="AT203" s="224"/>
      <c r="AU203" s="224"/>
      <c r="AV203" s="224"/>
      <c r="AW203" s="224"/>
      <c r="AX203" s="224"/>
      <c r="AY203" s="225">
        <v>3.3</v>
      </c>
      <c r="AZ203" s="225">
        <v>3.3</v>
      </c>
      <c r="BA203" s="224"/>
      <c r="BB203" s="224"/>
      <c r="BC203" s="224"/>
      <c r="BD203" s="224"/>
      <c r="BE203" s="224"/>
      <c r="BF203" s="224"/>
      <c r="BG203" s="224"/>
      <c r="BH203" s="224"/>
      <c r="BI203" s="224"/>
      <c r="BJ203" s="225">
        <v>179.95500000000001</v>
      </c>
      <c r="BK203" s="224"/>
      <c r="BL203" s="224"/>
      <c r="BM203" s="224"/>
      <c r="BN203" s="224"/>
      <c r="BO203" s="224"/>
      <c r="BP203" s="224"/>
      <c r="BQ203" s="224"/>
      <c r="BR203" s="224"/>
      <c r="BS203" s="224"/>
      <c r="BT203" s="224"/>
      <c r="BU203" s="224"/>
      <c r="BV203" s="224"/>
      <c r="BW203" s="224"/>
      <c r="BX203" s="224"/>
      <c r="BY203" s="224"/>
      <c r="BZ203" s="224"/>
      <c r="CA203" s="224"/>
      <c r="CB203" s="224"/>
      <c r="CC203" s="224"/>
      <c r="CD203" s="226">
        <v>179.95500000000001</v>
      </c>
    </row>
    <row r="204" spans="1:82" x14ac:dyDescent="0.3">
      <c r="A204" s="221" t="str">
        <f t="shared" si="5"/>
        <v>NON ADDNSTC Crosscuts (excl. HSA)TotalNITRD-ENIT-Electronics for Networking &amp; Information Technology</v>
      </c>
      <c r="B204" s="6" t="s">
        <v>223</v>
      </c>
      <c r="C204" s="6" t="s">
        <v>260</v>
      </c>
      <c r="D204" s="6" t="s">
        <v>24</v>
      </c>
      <c r="E204" s="224" t="s">
        <v>275</v>
      </c>
      <c r="F204" s="224"/>
      <c r="G204" s="224"/>
      <c r="H204" s="224"/>
      <c r="I204" s="224"/>
      <c r="J204" s="224"/>
      <c r="K204" s="225">
        <v>2</v>
      </c>
      <c r="L204" s="225">
        <v>2</v>
      </c>
      <c r="M204" s="224"/>
      <c r="N204" s="224"/>
      <c r="O204" s="224"/>
      <c r="P204" s="224"/>
      <c r="Q204" s="224"/>
      <c r="R204" s="225">
        <v>18.628</v>
      </c>
      <c r="S204" s="225">
        <v>18.628</v>
      </c>
      <c r="T204" s="224"/>
      <c r="U204" s="224"/>
      <c r="V204" s="224"/>
      <c r="W204" s="224"/>
      <c r="X204" s="224"/>
      <c r="Y204" s="224"/>
      <c r="Z204" s="224"/>
      <c r="AA204" s="224"/>
      <c r="AB204" s="224"/>
      <c r="AC204" s="224"/>
      <c r="AD204" s="224"/>
      <c r="AE204" s="224"/>
      <c r="AF204" s="224"/>
      <c r="AG204" s="224"/>
      <c r="AH204" s="224"/>
      <c r="AI204" s="224"/>
      <c r="AJ204" s="224"/>
      <c r="AK204" s="225">
        <v>37.159999999999997</v>
      </c>
      <c r="AL204" s="224"/>
      <c r="AM204" s="224"/>
      <c r="AN204" s="224"/>
      <c r="AO204" s="224"/>
      <c r="AP204" s="225">
        <v>37.159999999999997</v>
      </c>
      <c r="AQ204" s="224"/>
      <c r="AR204" s="224"/>
      <c r="AS204" s="224"/>
      <c r="AT204" s="224"/>
      <c r="AU204" s="224"/>
      <c r="AV204" s="224"/>
      <c r="AW204" s="224"/>
      <c r="AX204" s="224"/>
      <c r="AY204" s="225">
        <v>15</v>
      </c>
      <c r="AZ204" s="225">
        <v>15</v>
      </c>
      <c r="BA204" s="224"/>
      <c r="BB204" s="224"/>
      <c r="BC204" s="224"/>
      <c r="BD204" s="224"/>
      <c r="BE204" s="224"/>
      <c r="BF204" s="224"/>
      <c r="BG204" s="224"/>
      <c r="BH204" s="224"/>
      <c r="BI204" s="224"/>
      <c r="BJ204" s="225">
        <v>72.787999999999997</v>
      </c>
      <c r="BK204" s="224"/>
      <c r="BL204" s="224"/>
      <c r="BM204" s="224"/>
      <c r="BN204" s="224"/>
      <c r="BO204" s="224"/>
      <c r="BP204" s="224"/>
      <c r="BQ204" s="224"/>
      <c r="BR204" s="224"/>
      <c r="BS204" s="224"/>
      <c r="BT204" s="224"/>
      <c r="BU204" s="224"/>
      <c r="BV204" s="224"/>
      <c r="BW204" s="224"/>
      <c r="BX204" s="224"/>
      <c r="BY204" s="224"/>
      <c r="BZ204" s="224"/>
      <c r="CA204" s="224"/>
      <c r="CB204" s="224"/>
      <c r="CC204" s="224"/>
      <c r="CD204" s="226">
        <v>72.787999999999997</v>
      </c>
    </row>
    <row r="205" spans="1:82" x14ac:dyDescent="0.3">
      <c r="A205" s="221" t="str">
        <f t="shared" si="5"/>
        <v>NON ADDNSTC Crosscuts (excl. HSA)TotalNITRD-HCIA-High Capability Computing Infrastructure and Applications</v>
      </c>
      <c r="B205" s="6" t="s">
        <v>223</v>
      </c>
      <c r="C205" s="6" t="s">
        <v>260</v>
      </c>
      <c r="D205" s="6" t="s">
        <v>24</v>
      </c>
      <c r="E205" s="224" t="s">
        <v>276</v>
      </c>
      <c r="F205" s="224"/>
      <c r="G205" s="224"/>
      <c r="H205" s="224"/>
      <c r="I205" s="224"/>
      <c r="J205" s="224"/>
      <c r="K205" s="225">
        <v>2.5</v>
      </c>
      <c r="L205" s="225">
        <v>2.5</v>
      </c>
      <c r="M205" s="224"/>
      <c r="N205" s="224"/>
      <c r="O205" s="224"/>
      <c r="P205" s="224"/>
      <c r="Q205" s="224"/>
      <c r="R205" s="225">
        <v>109.57299999999999</v>
      </c>
      <c r="S205" s="225">
        <v>109.57299999999999</v>
      </c>
      <c r="T205" s="224"/>
      <c r="U205" s="224"/>
      <c r="V205" s="224"/>
      <c r="W205" s="224"/>
      <c r="X205" s="224"/>
      <c r="Y205" s="224"/>
      <c r="Z205" s="225">
        <v>8.57</v>
      </c>
      <c r="AA205" s="225">
        <v>8.57</v>
      </c>
      <c r="AB205" s="224"/>
      <c r="AC205" s="224"/>
      <c r="AD205" s="224"/>
      <c r="AE205" s="224"/>
      <c r="AF205" s="224"/>
      <c r="AG205" s="225">
        <v>22</v>
      </c>
      <c r="AH205" s="225">
        <v>22</v>
      </c>
      <c r="AI205" s="225">
        <v>0.5</v>
      </c>
      <c r="AJ205" s="225">
        <v>21.93</v>
      </c>
      <c r="AK205" s="225">
        <v>8.5</v>
      </c>
      <c r="AL205" s="224"/>
      <c r="AM205" s="224"/>
      <c r="AN205" s="225">
        <v>30.3</v>
      </c>
      <c r="AO205" s="224"/>
      <c r="AP205" s="225">
        <v>61.23</v>
      </c>
      <c r="AQ205" s="224"/>
      <c r="AR205" s="224"/>
      <c r="AS205" s="224"/>
      <c r="AT205" s="224"/>
      <c r="AU205" s="224"/>
      <c r="AV205" s="224"/>
      <c r="AW205" s="224"/>
      <c r="AX205" s="224"/>
      <c r="AY205" s="225">
        <v>5.7</v>
      </c>
      <c r="AZ205" s="225">
        <v>5.7</v>
      </c>
      <c r="BA205" s="224"/>
      <c r="BB205" s="224"/>
      <c r="BC205" s="224"/>
      <c r="BD205" s="224"/>
      <c r="BE205" s="224"/>
      <c r="BF205" s="224"/>
      <c r="BG205" s="224"/>
      <c r="BH205" s="224"/>
      <c r="BI205" s="224"/>
      <c r="BJ205" s="225">
        <v>209.57300000000001</v>
      </c>
      <c r="BK205" s="224"/>
      <c r="BL205" s="224"/>
      <c r="BM205" s="224"/>
      <c r="BN205" s="224"/>
      <c r="BO205" s="224"/>
      <c r="BP205" s="224"/>
      <c r="BQ205" s="224"/>
      <c r="BR205" s="224"/>
      <c r="BS205" s="224"/>
      <c r="BT205" s="224"/>
      <c r="BU205" s="224"/>
      <c r="BV205" s="224"/>
      <c r="BW205" s="224"/>
      <c r="BX205" s="224"/>
      <c r="BY205" s="224"/>
      <c r="BZ205" s="224"/>
      <c r="CA205" s="224"/>
      <c r="CB205" s="224"/>
      <c r="CC205" s="224"/>
      <c r="CD205" s="226">
        <v>209.57300000000001</v>
      </c>
    </row>
    <row r="206" spans="1:82" x14ac:dyDescent="0.3">
      <c r="A206" s="221" t="str">
        <f t="shared" si="5"/>
        <v>NON ADDNSTC Crosscuts (excl. HSA)TotalNITRD-IRAS-Intelligent Robotics and Autonomous Systems</v>
      </c>
      <c r="B206" s="6" t="s">
        <v>223</v>
      </c>
      <c r="C206" s="6" t="s">
        <v>260</v>
      </c>
      <c r="D206" s="6" t="s">
        <v>24</v>
      </c>
      <c r="E206" s="224" t="s">
        <v>277</v>
      </c>
      <c r="F206" s="224"/>
      <c r="G206" s="224"/>
      <c r="H206" s="224"/>
      <c r="I206" s="224"/>
      <c r="J206" s="224"/>
      <c r="K206" s="224"/>
      <c r="L206" s="224"/>
      <c r="M206" s="224"/>
      <c r="N206" s="224"/>
      <c r="O206" s="224"/>
      <c r="P206" s="224"/>
      <c r="Q206" s="224"/>
      <c r="R206" s="225">
        <v>28.227</v>
      </c>
      <c r="S206" s="225">
        <v>28.227</v>
      </c>
      <c r="T206" s="224"/>
      <c r="U206" s="224"/>
      <c r="V206" s="224"/>
      <c r="W206" s="224"/>
      <c r="X206" s="224"/>
      <c r="Y206" s="224"/>
      <c r="Z206" s="225">
        <v>14.51</v>
      </c>
      <c r="AA206" s="225">
        <v>14.51</v>
      </c>
      <c r="AB206" s="224"/>
      <c r="AC206" s="224"/>
      <c r="AD206" s="224"/>
      <c r="AE206" s="224"/>
      <c r="AF206" s="224"/>
      <c r="AG206" s="224"/>
      <c r="AH206" s="224"/>
      <c r="AI206" s="224"/>
      <c r="AJ206" s="225">
        <v>0</v>
      </c>
      <c r="AK206" s="224"/>
      <c r="AL206" s="224"/>
      <c r="AM206" s="224"/>
      <c r="AN206" s="224"/>
      <c r="AO206" s="224"/>
      <c r="AP206" s="225">
        <v>0</v>
      </c>
      <c r="AQ206" s="224"/>
      <c r="AR206" s="224"/>
      <c r="AS206" s="224"/>
      <c r="AT206" s="224"/>
      <c r="AU206" s="224"/>
      <c r="AV206" s="224"/>
      <c r="AW206" s="224"/>
      <c r="AX206" s="224"/>
      <c r="AY206" s="225">
        <v>5.4</v>
      </c>
      <c r="AZ206" s="225">
        <v>5.4</v>
      </c>
      <c r="BA206" s="224"/>
      <c r="BB206" s="224"/>
      <c r="BC206" s="224"/>
      <c r="BD206" s="224"/>
      <c r="BE206" s="224"/>
      <c r="BF206" s="224"/>
      <c r="BG206" s="224"/>
      <c r="BH206" s="224"/>
      <c r="BI206" s="224"/>
      <c r="BJ206" s="225">
        <v>48.137</v>
      </c>
      <c r="BK206" s="224"/>
      <c r="BL206" s="224"/>
      <c r="BM206" s="224"/>
      <c r="BN206" s="224"/>
      <c r="BO206" s="224"/>
      <c r="BP206" s="224"/>
      <c r="BQ206" s="224"/>
      <c r="BR206" s="224"/>
      <c r="BS206" s="224"/>
      <c r="BT206" s="224"/>
      <c r="BU206" s="224"/>
      <c r="BV206" s="224"/>
      <c r="BW206" s="224"/>
      <c r="BX206" s="224"/>
      <c r="BY206" s="224"/>
      <c r="BZ206" s="224"/>
      <c r="CA206" s="224"/>
      <c r="CB206" s="224"/>
      <c r="CC206" s="224"/>
      <c r="CD206" s="226">
        <v>48.137</v>
      </c>
    </row>
    <row r="207" spans="1:82" x14ac:dyDescent="0.3">
      <c r="A207" s="221" t="str">
        <f t="shared" si="5"/>
        <v>NON ADDNSTC Crosscuts (excl. HSA)TotalNITRD-LSDMA-Large-Scale Data Management and Analysis</v>
      </c>
      <c r="B207" s="6" t="s">
        <v>223</v>
      </c>
      <c r="C207" s="6" t="s">
        <v>260</v>
      </c>
      <c r="D207" s="6" t="s">
        <v>24</v>
      </c>
      <c r="E207" s="224" t="s">
        <v>278</v>
      </c>
      <c r="F207" s="224"/>
      <c r="G207" s="224"/>
      <c r="H207" s="224"/>
      <c r="I207" s="224"/>
      <c r="J207" s="224"/>
      <c r="K207" s="225">
        <v>43</v>
      </c>
      <c r="L207" s="225">
        <v>43</v>
      </c>
      <c r="M207" s="224"/>
      <c r="N207" s="224"/>
      <c r="O207" s="224"/>
      <c r="P207" s="224"/>
      <c r="Q207" s="224"/>
      <c r="R207" s="225">
        <v>108.96599999999999</v>
      </c>
      <c r="S207" s="225">
        <v>108.96599999999999</v>
      </c>
      <c r="T207" s="224"/>
      <c r="U207" s="224"/>
      <c r="V207" s="224"/>
      <c r="W207" s="224"/>
      <c r="X207" s="224"/>
      <c r="Y207" s="224"/>
      <c r="Z207" s="225">
        <v>6.49</v>
      </c>
      <c r="AA207" s="225">
        <v>6.49</v>
      </c>
      <c r="AB207" s="224"/>
      <c r="AC207" s="224"/>
      <c r="AD207" s="224"/>
      <c r="AE207" s="224"/>
      <c r="AF207" s="224"/>
      <c r="AG207" s="224"/>
      <c r="AH207" s="224"/>
      <c r="AI207" s="225">
        <v>4.6399999999999997</v>
      </c>
      <c r="AJ207" s="225">
        <v>15.85</v>
      </c>
      <c r="AK207" s="225">
        <v>4.3</v>
      </c>
      <c r="AL207" s="225">
        <v>2.97</v>
      </c>
      <c r="AM207" s="225">
        <v>0</v>
      </c>
      <c r="AN207" s="224"/>
      <c r="AO207" s="224"/>
      <c r="AP207" s="225">
        <v>27.76</v>
      </c>
      <c r="AQ207" s="225">
        <v>0</v>
      </c>
      <c r="AR207" s="224"/>
      <c r="AS207" s="225">
        <v>0</v>
      </c>
      <c r="AT207" s="225">
        <v>0</v>
      </c>
      <c r="AU207" s="225">
        <v>8.66</v>
      </c>
      <c r="AV207" s="225">
        <v>8.66</v>
      </c>
      <c r="AW207" s="224"/>
      <c r="AX207" s="224"/>
      <c r="AY207" s="225">
        <v>22.6</v>
      </c>
      <c r="AZ207" s="225">
        <v>22.6</v>
      </c>
      <c r="BA207" s="224"/>
      <c r="BB207" s="224"/>
      <c r="BC207" s="225">
        <v>4.67</v>
      </c>
      <c r="BD207" s="224"/>
      <c r="BE207" s="225">
        <v>4.67</v>
      </c>
      <c r="BF207" s="224"/>
      <c r="BG207" s="224"/>
      <c r="BH207" s="224"/>
      <c r="BI207" s="224"/>
      <c r="BJ207" s="225">
        <v>222.14599999999999</v>
      </c>
      <c r="BK207" s="224"/>
      <c r="BL207" s="224"/>
      <c r="BM207" s="224"/>
      <c r="BN207" s="224"/>
      <c r="BO207" s="224"/>
      <c r="BP207" s="224"/>
      <c r="BQ207" s="224"/>
      <c r="BR207" s="224"/>
      <c r="BS207" s="224"/>
      <c r="BT207" s="224"/>
      <c r="BU207" s="224"/>
      <c r="BV207" s="224"/>
      <c r="BW207" s="224"/>
      <c r="BX207" s="224"/>
      <c r="BY207" s="224"/>
      <c r="BZ207" s="224"/>
      <c r="CA207" s="224"/>
      <c r="CB207" s="224"/>
      <c r="CC207" s="224"/>
      <c r="CD207" s="226">
        <v>222.14599999999999</v>
      </c>
    </row>
    <row r="208" spans="1:82" x14ac:dyDescent="0.3">
      <c r="A208" s="221" t="str">
        <f t="shared" si="5"/>
        <v>NON ADDNSTC Crosscuts (excl. HSA)TotalNITRD-SPSQ-Software Productivity, Sustainability and Quality</v>
      </c>
      <c r="B208" s="6" t="s">
        <v>223</v>
      </c>
      <c r="C208" s="6" t="s">
        <v>260</v>
      </c>
      <c r="D208" s="6" t="s">
        <v>24</v>
      </c>
      <c r="E208" s="224" t="s">
        <v>279</v>
      </c>
      <c r="F208" s="224"/>
      <c r="G208" s="224"/>
      <c r="H208" s="224"/>
      <c r="I208" s="224"/>
      <c r="J208" s="224"/>
      <c r="K208" s="225">
        <v>12.5</v>
      </c>
      <c r="L208" s="225">
        <v>12.5</v>
      </c>
      <c r="M208" s="224"/>
      <c r="N208" s="224"/>
      <c r="O208" s="224"/>
      <c r="P208" s="224"/>
      <c r="Q208" s="224"/>
      <c r="R208" s="225">
        <v>50.372999999999998</v>
      </c>
      <c r="S208" s="225">
        <v>50.372999999999998</v>
      </c>
      <c r="T208" s="224"/>
      <c r="U208" s="224"/>
      <c r="V208" s="224"/>
      <c r="W208" s="224"/>
      <c r="X208" s="224"/>
      <c r="Y208" s="224"/>
      <c r="Z208" s="225">
        <v>0.83</v>
      </c>
      <c r="AA208" s="225">
        <v>0.83</v>
      </c>
      <c r="AB208" s="224"/>
      <c r="AC208" s="224"/>
      <c r="AD208" s="224"/>
      <c r="AE208" s="224"/>
      <c r="AF208" s="224"/>
      <c r="AG208" s="224"/>
      <c r="AH208" s="224"/>
      <c r="AI208" s="224"/>
      <c r="AJ208" s="224"/>
      <c r="AK208" s="224"/>
      <c r="AL208" s="224"/>
      <c r="AM208" s="224"/>
      <c r="AN208" s="224"/>
      <c r="AO208" s="224"/>
      <c r="AP208" s="224"/>
      <c r="AQ208" s="225">
        <v>0</v>
      </c>
      <c r="AR208" s="225">
        <v>0</v>
      </c>
      <c r="AS208" s="225">
        <v>0</v>
      </c>
      <c r="AT208" s="225">
        <v>0</v>
      </c>
      <c r="AU208" s="225">
        <v>2</v>
      </c>
      <c r="AV208" s="225">
        <v>2</v>
      </c>
      <c r="AW208" s="224"/>
      <c r="AX208" s="224"/>
      <c r="AY208" s="225">
        <v>1.6</v>
      </c>
      <c r="AZ208" s="225">
        <v>1.6</v>
      </c>
      <c r="BA208" s="224"/>
      <c r="BB208" s="224"/>
      <c r="BC208" s="224"/>
      <c r="BD208" s="224"/>
      <c r="BE208" s="224"/>
      <c r="BF208" s="224"/>
      <c r="BG208" s="224"/>
      <c r="BH208" s="224"/>
      <c r="BI208" s="224"/>
      <c r="BJ208" s="225">
        <v>67.302999999999997</v>
      </c>
      <c r="BK208" s="224"/>
      <c r="BL208" s="224"/>
      <c r="BM208" s="224"/>
      <c r="BN208" s="224"/>
      <c r="BO208" s="224"/>
      <c r="BP208" s="224"/>
      <c r="BQ208" s="224"/>
      <c r="BR208" s="224"/>
      <c r="BS208" s="224"/>
      <c r="BT208" s="224"/>
      <c r="BU208" s="224"/>
      <c r="BV208" s="224"/>
      <c r="BW208" s="224"/>
      <c r="BX208" s="224"/>
      <c r="BY208" s="224"/>
      <c r="BZ208" s="224"/>
      <c r="CA208" s="224"/>
      <c r="CB208" s="224"/>
      <c r="CC208" s="224"/>
      <c r="CD208" s="226">
        <v>67.302999999999997</v>
      </c>
    </row>
    <row r="209" spans="1:82" x14ac:dyDescent="0.3">
      <c r="A209" s="221" t="str">
        <f t="shared" si="5"/>
        <v>NON ADDNSTC Crosscuts (excl. HSA)Quantum Information Science (QIS)Total</v>
      </c>
      <c r="B209" s="6" t="s">
        <v>223</v>
      </c>
      <c r="C209" s="6" t="s">
        <v>260</v>
      </c>
      <c r="D209" s="224" t="s">
        <v>280</v>
      </c>
      <c r="E209" s="6" t="s">
        <v>24</v>
      </c>
      <c r="F209" s="224"/>
      <c r="G209" s="224"/>
      <c r="H209" s="224"/>
      <c r="I209" s="224"/>
      <c r="J209" s="224"/>
      <c r="K209" s="225">
        <v>3.28</v>
      </c>
      <c r="L209" s="225">
        <v>3.28</v>
      </c>
      <c r="M209" s="224"/>
      <c r="N209" s="224"/>
      <c r="O209" s="224"/>
      <c r="P209" s="224"/>
      <c r="Q209" s="224"/>
      <c r="R209" s="225">
        <v>25.027000000000001</v>
      </c>
      <c r="S209" s="225">
        <v>25.027000000000001</v>
      </c>
      <c r="T209" s="224"/>
      <c r="U209" s="224"/>
      <c r="V209" s="224"/>
      <c r="W209" s="224"/>
      <c r="X209" s="224"/>
      <c r="Y209" s="224"/>
      <c r="Z209" s="225">
        <v>31.17</v>
      </c>
      <c r="AA209" s="225">
        <v>31.17</v>
      </c>
      <c r="AB209" s="224"/>
      <c r="AC209" s="224"/>
      <c r="AD209" s="224"/>
      <c r="AE209" s="224"/>
      <c r="AF209" s="224"/>
      <c r="AG209" s="224"/>
      <c r="AH209" s="224"/>
      <c r="AI209" s="224"/>
      <c r="AJ209" s="225">
        <v>17.38</v>
      </c>
      <c r="AK209" s="225">
        <v>116.44</v>
      </c>
      <c r="AL209" s="224"/>
      <c r="AM209" s="225">
        <v>64.400000000000006</v>
      </c>
      <c r="AN209" s="225">
        <v>31.65</v>
      </c>
      <c r="AO209" s="224"/>
      <c r="AP209" s="225">
        <v>229.87</v>
      </c>
      <c r="AQ209" s="224"/>
      <c r="AR209" s="224"/>
      <c r="AS209" s="224"/>
      <c r="AT209" s="224"/>
      <c r="AU209" s="224"/>
      <c r="AV209" s="224"/>
      <c r="AW209" s="224"/>
      <c r="AX209" s="224"/>
      <c r="AY209" s="225">
        <v>25</v>
      </c>
      <c r="AZ209" s="225">
        <v>25</v>
      </c>
      <c r="BA209" s="225">
        <v>0</v>
      </c>
      <c r="BB209" s="225">
        <v>0</v>
      </c>
      <c r="BC209" s="225">
        <v>12.72</v>
      </c>
      <c r="BD209" s="225">
        <v>6.64</v>
      </c>
      <c r="BE209" s="225">
        <v>19.36</v>
      </c>
      <c r="BF209" s="224"/>
      <c r="BG209" s="224"/>
      <c r="BH209" s="224"/>
      <c r="BI209" s="224"/>
      <c r="BJ209" s="225">
        <v>333.70699999999999</v>
      </c>
      <c r="BK209" s="225">
        <v>6.98</v>
      </c>
      <c r="BL209" s="225">
        <v>0.75</v>
      </c>
      <c r="BM209" s="225">
        <v>2.8</v>
      </c>
      <c r="BN209" s="225">
        <v>3.55</v>
      </c>
      <c r="BO209" s="224"/>
      <c r="BP209" s="225">
        <v>14.08</v>
      </c>
      <c r="BQ209" s="225">
        <v>14.08</v>
      </c>
      <c r="BR209" s="224"/>
      <c r="BS209" s="224"/>
      <c r="BT209" s="224"/>
      <c r="BU209" s="224"/>
      <c r="BV209" s="224"/>
      <c r="BW209" s="224"/>
      <c r="BX209" s="224"/>
      <c r="BY209" s="224"/>
      <c r="BZ209" s="224"/>
      <c r="CA209" s="224"/>
      <c r="CB209" s="224"/>
      <c r="CC209" s="224"/>
      <c r="CD209" s="226">
        <v>347.78699999999998</v>
      </c>
    </row>
    <row r="210" spans="1:82" x14ac:dyDescent="0.3">
      <c r="A210" s="221" t="str">
        <f t="shared" si="5"/>
        <v>NON ADDNSTC Crosscuts (excl. HSA)Quantum Information Science (QIS)QIS-QADV-Foundational Quantum Information Science Advances</v>
      </c>
      <c r="B210" s="6" t="s">
        <v>223</v>
      </c>
      <c r="C210" s="6" t="s">
        <v>260</v>
      </c>
      <c r="D210" s="224" t="s">
        <v>280</v>
      </c>
      <c r="E210" s="224" t="s">
        <v>281</v>
      </c>
      <c r="F210" s="224"/>
      <c r="G210" s="224"/>
      <c r="H210" s="224"/>
      <c r="I210" s="224"/>
      <c r="J210" s="224"/>
      <c r="K210" s="225">
        <v>1</v>
      </c>
      <c r="L210" s="225">
        <v>1</v>
      </c>
      <c r="M210" s="224"/>
      <c r="N210" s="224"/>
      <c r="O210" s="224"/>
      <c r="P210" s="224"/>
      <c r="Q210" s="224"/>
      <c r="R210" s="225">
        <v>3.8140000000000001</v>
      </c>
      <c r="S210" s="225">
        <v>3.8140000000000001</v>
      </c>
      <c r="T210" s="224"/>
      <c r="U210" s="224"/>
      <c r="V210" s="224"/>
      <c r="W210" s="224"/>
      <c r="X210" s="224"/>
      <c r="Y210" s="224"/>
      <c r="Z210" s="225">
        <v>5</v>
      </c>
      <c r="AA210" s="225">
        <v>5</v>
      </c>
      <c r="AB210" s="224"/>
      <c r="AC210" s="224"/>
      <c r="AD210" s="224"/>
      <c r="AE210" s="224"/>
      <c r="AF210" s="224"/>
      <c r="AG210" s="224"/>
      <c r="AH210" s="224"/>
      <c r="AI210" s="224"/>
      <c r="AJ210" s="225">
        <v>16.68</v>
      </c>
      <c r="AK210" s="225">
        <v>108.62</v>
      </c>
      <c r="AL210" s="224"/>
      <c r="AM210" s="225">
        <v>16.100000000000001</v>
      </c>
      <c r="AN210" s="225">
        <v>17.09</v>
      </c>
      <c r="AO210" s="224"/>
      <c r="AP210" s="225">
        <v>158.49</v>
      </c>
      <c r="AQ210" s="224"/>
      <c r="AR210" s="224"/>
      <c r="AS210" s="224"/>
      <c r="AT210" s="224"/>
      <c r="AU210" s="224"/>
      <c r="AV210" s="224"/>
      <c r="AW210" s="224"/>
      <c r="AX210" s="224"/>
      <c r="AY210" s="225">
        <v>2</v>
      </c>
      <c r="AZ210" s="225">
        <v>2</v>
      </c>
      <c r="BA210" s="225">
        <v>0</v>
      </c>
      <c r="BB210" s="225">
        <v>0</v>
      </c>
      <c r="BC210" s="224"/>
      <c r="BD210" s="225">
        <v>0.72</v>
      </c>
      <c r="BE210" s="225">
        <v>0.72</v>
      </c>
      <c r="BF210" s="224"/>
      <c r="BG210" s="224"/>
      <c r="BH210" s="224"/>
      <c r="BI210" s="224"/>
      <c r="BJ210" s="225">
        <v>171.024</v>
      </c>
      <c r="BK210" s="225">
        <v>6.98</v>
      </c>
      <c r="BL210" s="225">
        <v>0.75</v>
      </c>
      <c r="BM210" s="225">
        <v>2.8</v>
      </c>
      <c r="BN210" s="225">
        <v>3.55</v>
      </c>
      <c r="BO210" s="224"/>
      <c r="BP210" s="225">
        <v>14.08</v>
      </c>
      <c r="BQ210" s="225">
        <v>14.08</v>
      </c>
      <c r="BR210" s="224"/>
      <c r="BS210" s="224"/>
      <c r="BT210" s="224"/>
      <c r="BU210" s="224"/>
      <c r="BV210" s="224"/>
      <c r="BW210" s="224"/>
      <c r="BX210" s="224"/>
      <c r="BY210" s="224"/>
      <c r="BZ210" s="224"/>
      <c r="CA210" s="224"/>
      <c r="CB210" s="224"/>
      <c r="CC210" s="224"/>
      <c r="CD210" s="226">
        <v>185.10400000000001</v>
      </c>
    </row>
    <row r="211" spans="1:82" x14ac:dyDescent="0.3">
      <c r="A211" s="221" t="str">
        <f t="shared" si="5"/>
        <v>NON ADDNSTC Crosscuts (excl. HSA)Quantum Information Science (QIS)QIS-QCOMP-Quantum Computing</v>
      </c>
      <c r="B211" s="6" t="s">
        <v>223</v>
      </c>
      <c r="C211" s="6" t="s">
        <v>260</v>
      </c>
      <c r="D211" s="224" t="s">
        <v>280</v>
      </c>
      <c r="E211" s="224" t="s">
        <v>282</v>
      </c>
      <c r="F211" s="224"/>
      <c r="G211" s="224"/>
      <c r="H211" s="224"/>
      <c r="I211" s="224"/>
      <c r="J211" s="224"/>
      <c r="K211" s="224"/>
      <c r="L211" s="224"/>
      <c r="M211" s="224"/>
      <c r="N211" s="224"/>
      <c r="O211" s="224"/>
      <c r="P211" s="224"/>
      <c r="Q211" s="224"/>
      <c r="R211" s="225">
        <v>10.753</v>
      </c>
      <c r="S211" s="225">
        <v>10.753</v>
      </c>
      <c r="T211" s="224"/>
      <c r="U211" s="224"/>
      <c r="V211" s="224"/>
      <c r="W211" s="224"/>
      <c r="X211" s="224"/>
      <c r="Y211" s="224"/>
      <c r="Z211" s="225">
        <v>7</v>
      </c>
      <c r="AA211" s="225">
        <v>7</v>
      </c>
      <c r="AB211" s="224"/>
      <c r="AC211" s="224"/>
      <c r="AD211" s="224"/>
      <c r="AE211" s="224"/>
      <c r="AF211" s="224"/>
      <c r="AG211" s="224"/>
      <c r="AH211" s="224"/>
      <c r="AI211" s="224"/>
      <c r="AJ211" s="225">
        <v>0.11</v>
      </c>
      <c r="AK211" s="225">
        <v>2.2400000000000002</v>
      </c>
      <c r="AL211" s="224"/>
      <c r="AM211" s="225">
        <v>11.64</v>
      </c>
      <c r="AN211" s="225">
        <v>5.37</v>
      </c>
      <c r="AO211" s="224"/>
      <c r="AP211" s="225">
        <v>19.36</v>
      </c>
      <c r="AQ211" s="224"/>
      <c r="AR211" s="224"/>
      <c r="AS211" s="224"/>
      <c r="AT211" s="224"/>
      <c r="AU211" s="224"/>
      <c r="AV211" s="224"/>
      <c r="AW211" s="224"/>
      <c r="AX211" s="224"/>
      <c r="AY211" s="225">
        <v>4.2</v>
      </c>
      <c r="AZ211" s="225">
        <v>4.2</v>
      </c>
      <c r="BA211" s="224"/>
      <c r="BB211" s="224"/>
      <c r="BC211" s="224"/>
      <c r="BD211" s="225">
        <v>0.54</v>
      </c>
      <c r="BE211" s="225">
        <v>0.54</v>
      </c>
      <c r="BF211" s="224"/>
      <c r="BG211" s="224"/>
      <c r="BH211" s="224"/>
      <c r="BI211" s="224"/>
      <c r="BJ211" s="225">
        <v>41.853000000000002</v>
      </c>
      <c r="BK211" s="224"/>
      <c r="BL211" s="224"/>
      <c r="BM211" s="224"/>
      <c r="BN211" s="224"/>
      <c r="BO211" s="224"/>
      <c r="BP211" s="224"/>
      <c r="BQ211" s="224"/>
      <c r="BR211" s="224"/>
      <c r="BS211" s="224"/>
      <c r="BT211" s="224"/>
      <c r="BU211" s="224"/>
      <c r="BV211" s="224"/>
      <c r="BW211" s="224"/>
      <c r="BX211" s="224"/>
      <c r="BY211" s="224"/>
      <c r="BZ211" s="224"/>
      <c r="CA211" s="224"/>
      <c r="CB211" s="224"/>
      <c r="CC211" s="224"/>
      <c r="CD211" s="226">
        <v>41.853000000000002</v>
      </c>
    </row>
    <row r="212" spans="1:82" x14ac:dyDescent="0.3">
      <c r="A212" s="221" t="str">
        <f t="shared" si="5"/>
        <v>NON ADDNSTC Crosscuts (excl. HSA)Quantum Information Science (QIS)QIS-QNET-Quantum Networks and Communications</v>
      </c>
      <c r="B212" s="6" t="s">
        <v>223</v>
      </c>
      <c r="C212" s="6" t="s">
        <v>260</v>
      </c>
      <c r="D212" s="224" t="s">
        <v>280</v>
      </c>
      <c r="E212" s="224" t="s">
        <v>283</v>
      </c>
      <c r="F212" s="224"/>
      <c r="G212" s="224"/>
      <c r="H212" s="224"/>
      <c r="I212" s="224"/>
      <c r="J212" s="224"/>
      <c r="K212" s="224"/>
      <c r="L212" s="224"/>
      <c r="M212" s="224"/>
      <c r="N212" s="224"/>
      <c r="O212" s="224"/>
      <c r="P212" s="224"/>
      <c r="Q212" s="224"/>
      <c r="R212" s="225">
        <v>6.452</v>
      </c>
      <c r="S212" s="225">
        <v>6.452</v>
      </c>
      <c r="T212" s="224"/>
      <c r="U212" s="224"/>
      <c r="V212" s="224"/>
      <c r="W212" s="224"/>
      <c r="X212" s="224"/>
      <c r="Y212" s="224"/>
      <c r="Z212" s="225">
        <v>14.37</v>
      </c>
      <c r="AA212" s="225">
        <v>14.37</v>
      </c>
      <c r="AB212" s="224"/>
      <c r="AC212" s="224"/>
      <c r="AD212" s="224"/>
      <c r="AE212" s="224"/>
      <c r="AF212" s="224"/>
      <c r="AG212" s="224"/>
      <c r="AH212" s="224"/>
      <c r="AI212" s="224"/>
      <c r="AJ212" s="224"/>
      <c r="AK212" s="224"/>
      <c r="AL212" s="224"/>
      <c r="AM212" s="225">
        <v>5.82</v>
      </c>
      <c r="AN212" s="225">
        <v>1.71</v>
      </c>
      <c r="AO212" s="224"/>
      <c r="AP212" s="225">
        <v>7.53</v>
      </c>
      <c r="AQ212" s="224"/>
      <c r="AR212" s="224"/>
      <c r="AS212" s="224"/>
      <c r="AT212" s="224"/>
      <c r="AU212" s="224"/>
      <c r="AV212" s="224"/>
      <c r="AW212" s="224"/>
      <c r="AX212" s="224"/>
      <c r="AY212" s="225">
        <v>7</v>
      </c>
      <c r="AZ212" s="225">
        <v>7</v>
      </c>
      <c r="BA212" s="224"/>
      <c r="BB212" s="224"/>
      <c r="BC212" s="224"/>
      <c r="BD212" s="224"/>
      <c r="BE212" s="224"/>
      <c r="BF212" s="224"/>
      <c r="BG212" s="224"/>
      <c r="BH212" s="224"/>
      <c r="BI212" s="224"/>
      <c r="BJ212" s="225">
        <v>35.351999999999997</v>
      </c>
      <c r="BK212" s="224"/>
      <c r="BL212" s="224"/>
      <c r="BM212" s="224"/>
      <c r="BN212" s="224"/>
      <c r="BO212" s="224"/>
      <c r="BP212" s="224"/>
      <c r="BQ212" s="224"/>
      <c r="BR212" s="224"/>
      <c r="BS212" s="224"/>
      <c r="BT212" s="224"/>
      <c r="BU212" s="224"/>
      <c r="BV212" s="224"/>
      <c r="BW212" s="224"/>
      <c r="BX212" s="224"/>
      <c r="BY212" s="224"/>
      <c r="BZ212" s="224"/>
      <c r="CA212" s="224"/>
      <c r="CB212" s="224"/>
      <c r="CC212" s="224"/>
      <c r="CD212" s="226">
        <v>35.351999999999997</v>
      </c>
    </row>
    <row r="213" spans="1:82" x14ac:dyDescent="0.3">
      <c r="A213" s="221" t="str">
        <f t="shared" si="5"/>
        <v>NON ADDNSTC Crosscuts (excl. HSA)Quantum Information Science (QIS)QIS-QSENS-Quantum Sensing and Metrology</v>
      </c>
      <c r="B213" s="6" t="s">
        <v>223</v>
      </c>
      <c r="C213" s="6" t="s">
        <v>260</v>
      </c>
      <c r="D213" s="224" t="s">
        <v>280</v>
      </c>
      <c r="E213" s="224" t="s">
        <v>284</v>
      </c>
      <c r="F213" s="224"/>
      <c r="G213" s="224"/>
      <c r="H213" s="224"/>
      <c r="I213" s="224"/>
      <c r="J213" s="224"/>
      <c r="K213" s="225">
        <v>1</v>
      </c>
      <c r="L213" s="225">
        <v>1</v>
      </c>
      <c r="M213" s="224"/>
      <c r="N213" s="224"/>
      <c r="O213" s="224"/>
      <c r="P213" s="224"/>
      <c r="Q213" s="224"/>
      <c r="R213" s="225">
        <v>1.091</v>
      </c>
      <c r="S213" s="225">
        <v>1.091</v>
      </c>
      <c r="T213" s="224"/>
      <c r="U213" s="224"/>
      <c r="V213" s="224"/>
      <c r="W213" s="224"/>
      <c r="X213" s="224"/>
      <c r="Y213" s="224"/>
      <c r="Z213" s="224"/>
      <c r="AA213" s="224"/>
      <c r="AB213" s="224"/>
      <c r="AC213" s="224"/>
      <c r="AD213" s="224"/>
      <c r="AE213" s="224"/>
      <c r="AF213" s="224"/>
      <c r="AG213" s="224"/>
      <c r="AH213" s="224"/>
      <c r="AI213" s="224"/>
      <c r="AJ213" s="225">
        <v>0.36</v>
      </c>
      <c r="AK213" s="225">
        <v>5.58</v>
      </c>
      <c r="AL213" s="224"/>
      <c r="AM213" s="225">
        <v>11.64</v>
      </c>
      <c r="AN213" s="225">
        <v>7.48</v>
      </c>
      <c r="AO213" s="224"/>
      <c r="AP213" s="225">
        <v>25.06</v>
      </c>
      <c r="AQ213" s="224"/>
      <c r="AR213" s="224"/>
      <c r="AS213" s="224"/>
      <c r="AT213" s="224"/>
      <c r="AU213" s="224"/>
      <c r="AV213" s="224"/>
      <c r="AW213" s="224"/>
      <c r="AX213" s="224"/>
      <c r="AY213" s="225">
        <v>2.1</v>
      </c>
      <c r="AZ213" s="225">
        <v>2.1</v>
      </c>
      <c r="BA213" s="224"/>
      <c r="BB213" s="224"/>
      <c r="BC213" s="224"/>
      <c r="BD213" s="224"/>
      <c r="BE213" s="224"/>
      <c r="BF213" s="224"/>
      <c r="BG213" s="224"/>
      <c r="BH213" s="224"/>
      <c r="BI213" s="224"/>
      <c r="BJ213" s="225">
        <v>29.251000000000001</v>
      </c>
      <c r="BK213" s="224"/>
      <c r="BL213" s="224"/>
      <c r="BM213" s="224"/>
      <c r="BN213" s="224"/>
      <c r="BO213" s="224"/>
      <c r="BP213" s="224"/>
      <c r="BQ213" s="224"/>
      <c r="BR213" s="224"/>
      <c r="BS213" s="224"/>
      <c r="BT213" s="224"/>
      <c r="BU213" s="224"/>
      <c r="BV213" s="224"/>
      <c r="BW213" s="224"/>
      <c r="BX213" s="224"/>
      <c r="BY213" s="224"/>
      <c r="BZ213" s="224"/>
      <c r="CA213" s="224"/>
      <c r="CB213" s="224"/>
      <c r="CC213" s="224"/>
      <c r="CD213" s="226">
        <v>29.251000000000001</v>
      </c>
    </row>
    <row r="214" spans="1:82" x14ac:dyDescent="0.3">
      <c r="A214" s="221" t="str">
        <f t="shared" si="5"/>
        <v>NON ADDNSTC Crosscuts (excl. HSA)Quantum Information Science (QIS)QIS-QTAPP-Future Applications</v>
      </c>
      <c r="B214" s="6" t="s">
        <v>223</v>
      </c>
      <c r="C214" s="6" t="s">
        <v>260</v>
      </c>
      <c r="D214" s="224" t="s">
        <v>280</v>
      </c>
      <c r="E214" s="224" t="s">
        <v>285</v>
      </c>
      <c r="F214" s="224"/>
      <c r="G214" s="224"/>
      <c r="H214" s="224"/>
      <c r="I214" s="224"/>
      <c r="J214" s="224"/>
      <c r="K214" s="225">
        <v>1.28</v>
      </c>
      <c r="L214" s="225">
        <v>1.28</v>
      </c>
      <c r="M214" s="224"/>
      <c r="N214" s="224"/>
      <c r="O214" s="224"/>
      <c r="P214" s="224"/>
      <c r="Q214" s="224"/>
      <c r="R214" s="224"/>
      <c r="S214" s="224"/>
      <c r="T214" s="224"/>
      <c r="U214" s="224"/>
      <c r="V214" s="224"/>
      <c r="W214" s="224"/>
      <c r="X214" s="224"/>
      <c r="Y214" s="224"/>
      <c r="Z214" s="225">
        <v>4.2</v>
      </c>
      <c r="AA214" s="225">
        <v>4.2</v>
      </c>
      <c r="AB214" s="224"/>
      <c r="AC214" s="224"/>
      <c r="AD214" s="224"/>
      <c r="AE214" s="224"/>
      <c r="AF214" s="224"/>
      <c r="AG214" s="224"/>
      <c r="AH214" s="224"/>
      <c r="AI214" s="224"/>
      <c r="AJ214" s="225">
        <v>0.23</v>
      </c>
      <c r="AK214" s="224"/>
      <c r="AL214" s="224"/>
      <c r="AM214" s="225">
        <v>16.100000000000001</v>
      </c>
      <c r="AN214" s="224"/>
      <c r="AO214" s="224"/>
      <c r="AP214" s="225">
        <v>16.329999999999998</v>
      </c>
      <c r="AQ214" s="224"/>
      <c r="AR214" s="224"/>
      <c r="AS214" s="224"/>
      <c r="AT214" s="224"/>
      <c r="AU214" s="224"/>
      <c r="AV214" s="224"/>
      <c r="AW214" s="224"/>
      <c r="AX214" s="224"/>
      <c r="AY214" s="225">
        <v>5.8</v>
      </c>
      <c r="AZ214" s="225">
        <v>5.8</v>
      </c>
      <c r="BA214" s="224"/>
      <c r="BB214" s="224"/>
      <c r="BC214" s="225">
        <v>10.55</v>
      </c>
      <c r="BD214" s="225">
        <v>0.9</v>
      </c>
      <c r="BE214" s="225">
        <v>11.45</v>
      </c>
      <c r="BF214" s="224"/>
      <c r="BG214" s="224"/>
      <c r="BH214" s="224"/>
      <c r="BI214" s="224"/>
      <c r="BJ214" s="225">
        <v>39.06</v>
      </c>
      <c r="BK214" s="224"/>
      <c r="BL214" s="224"/>
      <c r="BM214" s="224"/>
      <c r="BN214" s="224"/>
      <c r="BO214" s="224"/>
      <c r="BP214" s="224"/>
      <c r="BQ214" s="224"/>
      <c r="BR214" s="224"/>
      <c r="BS214" s="224"/>
      <c r="BT214" s="224"/>
      <c r="BU214" s="224"/>
      <c r="BV214" s="224"/>
      <c r="BW214" s="224"/>
      <c r="BX214" s="224"/>
      <c r="BY214" s="224"/>
      <c r="BZ214" s="224"/>
      <c r="CA214" s="224"/>
      <c r="CB214" s="224"/>
      <c r="CC214" s="224"/>
      <c r="CD214" s="226">
        <v>39.06</v>
      </c>
    </row>
    <row r="215" spans="1:82" x14ac:dyDescent="0.3">
      <c r="A215" s="221" t="str">
        <f t="shared" si="5"/>
        <v>NON ADDNSTC Crosscuts (excl. HSA)Quantum Information Science (QIS)QIS-QTRM-Risk Mitigation</v>
      </c>
      <c r="B215" s="6" t="s">
        <v>223</v>
      </c>
      <c r="C215" s="6" t="s">
        <v>260</v>
      </c>
      <c r="D215" s="224" t="s">
        <v>280</v>
      </c>
      <c r="E215" s="224" t="s">
        <v>286</v>
      </c>
      <c r="F215" s="224"/>
      <c r="G215" s="224"/>
      <c r="H215" s="224"/>
      <c r="I215" s="224"/>
      <c r="J215" s="224"/>
      <c r="K215" s="224"/>
      <c r="L215" s="224"/>
      <c r="M215" s="224"/>
      <c r="N215" s="224"/>
      <c r="O215" s="224"/>
      <c r="P215" s="224"/>
      <c r="Q215" s="224"/>
      <c r="R215" s="225">
        <v>2.9169999999999998</v>
      </c>
      <c r="S215" s="225">
        <v>2.9169999999999998</v>
      </c>
      <c r="T215" s="224"/>
      <c r="U215" s="224"/>
      <c r="V215" s="224"/>
      <c r="W215" s="224"/>
      <c r="X215" s="224"/>
      <c r="Y215" s="224"/>
      <c r="Z215" s="225">
        <v>0.6</v>
      </c>
      <c r="AA215" s="225">
        <v>0.6</v>
      </c>
      <c r="AB215" s="224"/>
      <c r="AC215" s="224"/>
      <c r="AD215" s="224"/>
      <c r="AE215" s="224"/>
      <c r="AF215" s="224"/>
      <c r="AG215" s="224"/>
      <c r="AH215" s="224"/>
      <c r="AI215" s="224"/>
      <c r="AJ215" s="224"/>
      <c r="AK215" s="224"/>
      <c r="AL215" s="224"/>
      <c r="AM215" s="225">
        <v>0</v>
      </c>
      <c r="AN215" s="224"/>
      <c r="AO215" s="224"/>
      <c r="AP215" s="225">
        <v>0</v>
      </c>
      <c r="AQ215" s="224"/>
      <c r="AR215" s="224"/>
      <c r="AS215" s="224"/>
      <c r="AT215" s="224"/>
      <c r="AU215" s="224"/>
      <c r="AV215" s="224"/>
      <c r="AW215" s="224"/>
      <c r="AX215" s="224"/>
      <c r="AY215" s="225">
        <v>1</v>
      </c>
      <c r="AZ215" s="225">
        <v>1</v>
      </c>
      <c r="BA215" s="224"/>
      <c r="BB215" s="224"/>
      <c r="BC215" s="224"/>
      <c r="BD215" s="224"/>
      <c r="BE215" s="224"/>
      <c r="BF215" s="224"/>
      <c r="BG215" s="224"/>
      <c r="BH215" s="224"/>
      <c r="BI215" s="224"/>
      <c r="BJ215" s="225">
        <v>4.5170000000000003</v>
      </c>
      <c r="BK215" s="224"/>
      <c r="BL215" s="224"/>
      <c r="BM215" s="224"/>
      <c r="BN215" s="224"/>
      <c r="BO215" s="224"/>
      <c r="BP215" s="224"/>
      <c r="BQ215" s="224"/>
      <c r="BR215" s="224"/>
      <c r="BS215" s="224"/>
      <c r="BT215" s="224"/>
      <c r="BU215" s="224"/>
      <c r="BV215" s="224"/>
      <c r="BW215" s="224"/>
      <c r="BX215" s="224"/>
      <c r="BY215" s="224"/>
      <c r="BZ215" s="224"/>
      <c r="CA215" s="224"/>
      <c r="CB215" s="224"/>
      <c r="CC215" s="224"/>
      <c r="CD215" s="226">
        <v>4.5170000000000003</v>
      </c>
    </row>
    <row r="216" spans="1:82" x14ac:dyDescent="0.3">
      <c r="A216" s="221" t="str">
        <f t="shared" si="5"/>
        <v>NON ADDNSTC Crosscuts (excl. HSA)Quantum Information Science (QIS)QIS-QTSUP-Supporting Technology</v>
      </c>
      <c r="B216" s="6" t="s">
        <v>223</v>
      </c>
      <c r="C216" s="6" t="s">
        <v>260</v>
      </c>
      <c r="D216" s="224" t="s">
        <v>280</v>
      </c>
      <c r="E216" s="224" t="s">
        <v>287</v>
      </c>
      <c r="F216" s="224"/>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224"/>
      <c r="AD216" s="224"/>
      <c r="AE216" s="224"/>
      <c r="AF216" s="224"/>
      <c r="AG216" s="224"/>
      <c r="AH216" s="224"/>
      <c r="AI216" s="224"/>
      <c r="AJ216" s="224"/>
      <c r="AK216" s="224"/>
      <c r="AL216" s="224"/>
      <c r="AM216" s="225">
        <v>3.1</v>
      </c>
      <c r="AN216" s="224"/>
      <c r="AO216" s="224"/>
      <c r="AP216" s="225">
        <v>3.1</v>
      </c>
      <c r="AQ216" s="224"/>
      <c r="AR216" s="224"/>
      <c r="AS216" s="224"/>
      <c r="AT216" s="224"/>
      <c r="AU216" s="224"/>
      <c r="AV216" s="224"/>
      <c r="AW216" s="224"/>
      <c r="AX216" s="224"/>
      <c r="AY216" s="225">
        <v>2.9</v>
      </c>
      <c r="AZ216" s="225">
        <v>2.9</v>
      </c>
      <c r="BA216" s="224"/>
      <c r="BB216" s="224"/>
      <c r="BC216" s="225">
        <v>2.17</v>
      </c>
      <c r="BD216" s="225">
        <v>4.4800000000000004</v>
      </c>
      <c r="BE216" s="225">
        <v>6.65</v>
      </c>
      <c r="BF216" s="224"/>
      <c r="BG216" s="224"/>
      <c r="BH216" s="224"/>
      <c r="BI216" s="224"/>
      <c r="BJ216" s="225">
        <v>12.65</v>
      </c>
      <c r="BK216" s="224"/>
      <c r="BL216" s="224"/>
      <c r="BM216" s="224"/>
      <c r="BN216" s="224"/>
      <c r="BO216" s="224"/>
      <c r="BP216" s="224"/>
      <c r="BQ216" s="224"/>
      <c r="BR216" s="224"/>
      <c r="BS216" s="224"/>
      <c r="BT216" s="224"/>
      <c r="BU216" s="224"/>
      <c r="BV216" s="224"/>
      <c r="BW216" s="224"/>
      <c r="BX216" s="224"/>
      <c r="BY216" s="224"/>
      <c r="BZ216" s="224"/>
      <c r="CA216" s="224"/>
      <c r="CB216" s="224"/>
      <c r="CC216" s="224"/>
      <c r="CD216" s="226">
        <v>12.65</v>
      </c>
    </row>
    <row r="217" spans="1:82" x14ac:dyDescent="0.3">
      <c r="A217" s="221" t="str">
        <f t="shared" si="5"/>
        <v>NON ADDNSTC Crosscuts (excl. HSA)U.S. Global Change Research Program (USGCRP)Total</v>
      </c>
      <c r="B217" s="6" t="s">
        <v>223</v>
      </c>
      <c r="C217" s="6" t="s">
        <v>260</v>
      </c>
      <c r="D217" s="224" t="s">
        <v>288</v>
      </c>
      <c r="E217" s="6" t="s">
        <v>24</v>
      </c>
      <c r="F217" s="224"/>
      <c r="G217" s="224"/>
      <c r="H217" s="224"/>
      <c r="I217" s="224"/>
      <c r="J217" s="224"/>
      <c r="K217" s="225">
        <v>162.01</v>
      </c>
      <c r="L217" s="225">
        <v>162.01</v>
      </c>
      <c r="M217" s="224"/>
      <c r="N217" s="224"/>
      <c r="O217" s="224"/>
      <c r="P217" s="224"/>
      <c r="Q217" s="224"/>
      <c r="R217" s="224"/>
      <c r="S217" s="224"/>
      <c r="T217" s="224"/>
      <c r="U217" s="224"/>
      <c r="V217" s="224"/>
      <c r="W217" s="224"/>
      <c r="X217" s="224"/>
      <c r="Y217" s="224"/>
      <c r="Z217" s="224"/>
      <c r="AA217" s="224"/>
      <c r="AB217" s="224"/>
      <c r="AC217" s="224"/>
      <c r="AD217" s="224"/>
      <c r="AE217" s="225">
        <v>236</v>
      </c>
      <c r="AF217" s="225">
        <v>0</v>
      </c>
      <c r="AG217" s="225">
        <v>337.6</v>
      </c>
      <c r="AH217" s="225">
        <v>573.6</v>
      </c>
      <c r="AI217" s="224"/>
      <c r="AJ217" s="225">
        <v>9.0299999999999994</v>
      </c>
      <c r="AK217" s="224"/>
      <c r="AL217" s="225">
        <v>4.41</v>
      </c>
      <c r="AM217" s="225">
        <v>0</v>
      </c>
      <c r="AN217" s="224"/>
      <c r="AO217" s="224"/>
      <c r="AP217" s="225">
        <v>13.44</v>
      </c>
      <c r="AQ217" s="225">
        <v>0</v>
      </c>
      <c r="AR217" s="224"/>
      <c r="AS217" s="225">
        <v>0</v>
      </c>
      <c r="AT217" s="225">
        <v>0</v>
      </c>
      <c r="AU217" s="225">
        <v>19.920000000000002</v>
      </c>
      <c r="AV217" s="225">
        <v>19.920000000000002</v>
      </c>
      <c r="AW217" s="224"/>
      <c r="AX217" s="224"/>
      <c r="AY217" s="224"/>
      <c r="AZ217" s="224"/>
      <c r="BA217" s="225">
        <v>11.993</v>
      </c>
      <c r="BB217" s="225">
        <v>11.993</v>
      </c>
      <c r="BC217" s="224"/>
      <c r="BD217" s="224"/>
      <c r="BE217" s="224"/>
      <c r="BF217" s="224"/>
      <c r="BG217" s="224"/>
      <c r="BH217" s="224"/>
      <c r="BI217" s="224"/>
      <c r="BJ217" s="225">
        <v>780.96299999999997</v>
      </c>
      <c r="BK217" s="224"/>
      <c r="BL217" s="224"/>
      <c r="BM217" s="224"/>
      <c r="BN217" s="224"/>
      <c r="BO217" s="224"/>
      <c r="BP217" s="224"/>
      <c r="BQ217" s="224"/>
      <c r="BR217" s="224"/>
      <c r="BS217" s="224"/>
      <c r="BT217" s="224"/>
      <c r="BU217" s="224"/>
      <c r="BV217" s="224"/>
      <c r="BW217" s="224"/>
      <c r="BX217" s="224"/>
      <c r="BY217" s="224"/>
      <c r="BZ217" s="224"/>
      <c r="CA217" s="224"/>
      <c r="CB217" s="224"/>
      <c r="CC217" s="224"/>
      <c r="CD217" s="226">
        <v>780.96299999999997</v>
      </c>
    </row>
    <row r="218" spans="1:82" x14ac:dyDescent="0.3">
      <c r="A218" s="221" t="str">
        <f t="shared" si="5"/>
        <v>NON ADDNSTC Crosscuts (excl. HSA)U.S. Global Change Research Program (USGCRP)USGCRP-Communication and Education</v>
      </c>
      <c r="B218" s="6" t="s">
        <v>223</v>
      </c>
      <c r="C218" s="6" t="s">
        <v>260</v>
      </c>
      <c r="D218" s="224" t="s">
        <v>288</v>
      </c>
      <c r="E218" s="224" t="s">
        <v>289</v>
      </c>
      <c r="F218" s="224"/>
      <c r="G218" s="224"/>
      <c r="H218" s="224"/>
      <c r="I218" s="224"/>
      <c r="J218" s="224"/>
      <c r="K218" s="224"/>
      <c r="L218" s="224"/>
      <c r="M218" s="224"/>
      <c r="N218" s="224"/>
      <c r="O218" s="224"/>
      <c r="P218" s="224"/>
      <c r="Q218" s="224"/>
      <c r="R218" s="224"/>
      <c r="S218" s="224"/>
      <c r="T218" s="224"/>
      <c r="U218" s="224"/>
      <c r="V218" s="224"/>
      <c r="W218" s="224"/>
      <c r="X218" s="224"/>
      <c r="Y218" s="224"/>
      <c r="Z218" s="224"/>
      <c r="AA218" s="224"/>
      <c r="AB218" s="224"/>
      <c r="AC218" s="224"/>
      <c r="AD218" s="224"/>
      <c r="AE218" s="224"/>
      <c r="AF218" s="225">
        <v>0</v>
      </c>
      <c r="AG218" s="224"/>
      <c r="AH218" s="225">
        <v>0</v>
      </c>
      <c r="AI218" s="224"/>
      <c r="AJ218" s="224"/>
      <c r="AK218" s="224"/>
      <c r="AL218" s="224"/>
      <c r="AM218" s="225">
        <v>0</v>
      </c>
      <c r="AN218" s="224"/>
      <c r="AO218" s="224"/>
      <c r="AP218" s="225">
        <v>0</v>
      </c>
      <c r="AQ218" s="224"/>
      <c r="AR218" s="224"/>
      <c r="AS218" s="225">
        <v>0</v>
      </c>
      <c r="AT218" s="224"/>
      <c r="AU218" s="224"/>
      <c r="AV218" s="225">
        <v>0</v>
      </c>
      <c r="AW218" s="224"/>
      <c r="AX218" s="224"/>
      <c r="AY218" s="224"/>
      <c r="AZ218" s="224"/>
      <c r="BA218" s="224"/>
      <c r="BB218" s="224"/>
      <c r="BC218" s="224"/>
      <c r="BD218" s="224"/>
      <c r="BE218" s="224"/>
      <c r="BF218" s="224"/>
      <c r="BG218" s="224"/>
      <c r="BH218" s="224"/>
      <c r="BI218" s="224"/>
      <c r="BJ218" s="225">
        <v>0</v>
      </c>
      <c r="BK218" s="224"/>
      <c r="BL218" s="224"/>
      <c r="BM218" s="224"/>
      <c r="BN218" s="224"/>
      <c r="BO218" s="224"/>
      <c r="BP218" s="224"/>
      <c r="BQ218" s="224"/>
      <c r="BR218" s="224"/>
      <c r="BS218" s="224"/>
      <c r="BT218" s="224"/>
      <c r="BU218" s="224"/>
      <c r="BV218" s="224"/>
      <c r="BW218" s="224"/>
      <c r="BX218" s="224"/>
      <c r="BY218" s="224"/>
      <c r="BZ218" s="224"/>
      <c r="CA218" s="224"/>
      <c r="CB218" s="224"/>
      <c r="CC218" s="224"/>
      <c r="CD218" s="226">
        <v>0</v>
      </c>
    </row>
    <row r="219" spans="1:82" x14ac:dyDescent="0.3">
      <c r="A219" s="221" t="str">
        <f t="shared" si="5"/>
        <v>NON ADDNSTC Crosscuts (excl. HSA)U.S. Global Change Research Program (USGCRP)USGCRP-Integrated Modeling</v>
      </c>
      <c r="B219" s="6" t="s">
        <v>223</v>
      </c>
      <c r="C219" s="6" t="s">
        <v>260</v>
      </c>
      <c r="D219" s="224" t="s">
        <v>288</v>
      </c>
      <c r="E219" s="224" t="s">
        <v>290</v>
      </c>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5">
        <v>40.01</v>
      </c>
      <c r="AF219" s="224"/>
      <c r="AG219" s="225">
        <v>23</v>
      </c>
      <c r="AH219" s="225">
        <v>63.01</v>
      </c>
      <c r="AI219" s="224"/>
      <c r="AJ219" s="225">
        <v>9.0299999999999994</v>
      </c>
      <c r="AK219" s="224"/>
      <c r="AL219" s="225">
        <v>3.15</v>
      </c>
      <c r="AM219" s="225">
        <v>0</v>
      </c>
      <c r="AN219" s="224"/>
      <c r="AO219" s="224"/>
      <c r="AP219" s="225">
        <v>12.18</v>
      </c>
      <c r="AQ219" s="225">
        <v>0</v>
      </c>
      <c r="AR219" s="224"/>
      <c r="AS219" s="224"/>
      <c r="AT219" s="225">
        <v>0</v>
      </c>
      <c r="AU219" s="225">
        <v>3.8</v>
      </c>
      <c r="AV219" s="225">
        <v>3.8</v>
      </c>
      <c r="AW219" s="224"/>
      <c r="AX219" s="224"/>
      <c r="AY219" s="224"/>
      <c r="AZ219" s="224"/>
      <c r="BA219" s="224"/>
      <c r="BB219" s="224"/>
      <c r="BC219" s="224"/>
      <c r="BD219" s="224"/>
      <c r="BE219" s="224"/>
      <c r="BF219" s="224"/>
      <c r="BG219" s="224"/>
      <c r="BH219" s="224"/>
      <c r="BI219" s="224"/>
      <c r="BJ219" s="225">
        <v>78.989999999999995</v>
      </c>
      <c r="BK219" s="224"/>
      <c r="BL219" s="224"/>
      <c r="BM219" s="224"/>
      <c r="BN219" s="224"/>
      <c r="BO219" s="224"/>
      <c r="BP219" s="224"/>
      <c r="BQ219" s="224"/>
      <c r="BR219" s="224"/>
      <c r="BS219" s="224"/>
      <c r="BT219" s="224"/>
      <c r="BU219" s="224"/>
      <c r="BV219" s="224"/>
      <c r="BW219" s="224"/>
      <c r="BX219" s="224"/>
      <c r="BY219" s="224"/>
      <c r="BZ219" s="224"/>
      <c r="CA219" s="224"/>
      <c r="CB219" s="224"/>
      <c r="CC219" s="224"/>
      <c r="CD219" s="226">
        <v>78.989999999999995</v>
      </c>
    </row>
    <row r="220" spans="1:82" x14ac:dyDescent="0.3">
      <c r="A220" s="221" t="str">
        <f t="shared" si="5"/>
        <v>NON ADDNSTC Crosscuts (excl. HSA)U.S. Global Change Research Program (USGCRP)USGCRP-Integrated Observations</v>
      </c>
      <c r="B220" s="6" t="s">
        <v>223</v>
      </c>
      <c r="C220" s="6" t="s">
        <v>260</v>
      </c>
      <c r="D220" s="224" t="s">
        <v>288</v>
      </c>
      <c r="E220" s="224" t="s">
        <v>291</v>
      </c>
      <c r="F220" s="224"/>
      <c r="G220" s="224"/>
      <c r="H220" s="224"/>
      <c r="I220" s="224"/>
      <c r="J220" s="224"/>
      <c r="K220" s="225">
        <v>69.010000000000005</v>
      </c>
      <c r="L220" s="225">
        <v>69.010000000000005</v>
      </c>
      <c r="M220" s="224"/>
      <c r="N220" s="224"/>
      <c r="O220" s="224"/>
      <c r="P220" s="224"/>
      <c r="Q220" s="224"/>
      <c r="R220" s="224"/>
      <c r="S220" s="224"/>
      <c r="T220" s="224"/>
      <c r="U220" s="224"/>
      <c r="V220" s="224"/>
      <c r="W220" s="224"/>
      <c r="X220" s="224"/>
      <c r="Y220" s="224"/>
      <c r="Z220" s="224"/>
      <c r="AA220" s="224"/>
      <c r="AB220" s="224"/>
      <c r="AC220" s="224"/>
      <c r="AD220" s="224"/>
      <c r="AE220" s="225">
        <v>125.85</v>
      </c>
      <c r="AF220" s="224"/>
      <c r="AG220" s="225">
        <v>87</v>
      </c>
      <c r="AH220" s="225">
        <v>212.85</v>
      </c>
      <c r="AI220" s="224"/>
      <c r="AJ220" s="224"/>
      <c r="AK220" s="224"/>
      <c r="AL220" s="224"/>
      <c r="AM220" s="225">
        <v>0</v>
      </c>
      <c r="AN220" s="224"/>
      <c r="AO220" s="224"/>
      <c r="AP220" s="225">
        <v>0</v>
      </c>
      <c r="AQ220" s="224"/>
      <c r="AR220" s="224"/>
      <c r="AS220" s="225">
        <v>0</v>
      </c>
      <c r="AT220" s="224"/>
      <c r="AU220" s="224"/>
      <c r="AV220" s="225">
        <v>0</v>
      </c>
      <c r="AW220" s="224"/>
      <c r="AX220" s="224"/>
      <c r="AY220" s="224"/>
      <c r="AZ220" s="224"/>
      <c r="BA220" s="224"/>
      <c r="BB220" s="224"/>
      <c r="BC220" s="224"/>
      <c r="BD220" s="224"/>
      <c r="BE220" s="224"/>
      <c r="BF220" s="224"/>
      <c r="BG220" s="224"/>
      <c r="BH220" s="224"/>
      <c r="BI220" s="224"/>
      <c r="BJ220" s="225">
        <v>281.86</v>
      </c>
      <c r="BK220" s="224"/>
      <c r="BL220" s="224"/>
      <c r="BM220" s="224"/>
      <c r="BN220" s="224"/>
      <c r="BO220" s="224"/>
      <c r="BP220" s="224"/>
      <c r="BQ220" s="224"/>
      <c r="BR220" s="224"/>
      <c r="BS220" s="224"/>
      <c r="BT220" s="224"/>
      <c r="BU220" s="224"/>
      <c r="BV220" s="224"/>
      <c r="BW220" s="224"/>
      <c r="BX220" s="224"/>
      <c r="BY220" s="224"/>
      <c r="BZ220" s="224"/>
      <c r="CA220" s="224"/>
      <c r="CB220" s="224"/>
      <c r="CC220" s="224"/>
      <c r="CD220" s="226">
        <v>281.86</v>
      </c>
    </row>
    <row r="221" spans="1:82" x14ac:dyDescent="0.3">
      <c r="A221" s="221" t="str">
        <f t="shared" si="5"/>
        <v>NON ADDNSTC Crosscuts (excl. HSA)U.S. Global Change Research Program (USGCRP)USGCRP-Multidisciplinary Earth and Human System Understanding</v>
      </c>
      <c r="B221" s="6" t="s">
        <v>223</v>
      </c>
      <c r="C221" s="6" t="s">
        <v>260</v>
      </c>
      <c r="D221" s="224" t="s">
        <v>288</v>
      </c>
      <c r="E221" s="224" t="s">
        <v>292</v>
      </c>
      <c r="F221" s="224"/>
      <c r="G221" s="224"/>
      <c r="H221" s="224"/>
      <c r="I221" s="224"/>
      <c r="J221" s="224"/>
      <c r="K221" s="225">
        <v>93</v>
      </c>
      <c r="L221" s="225">
        <v>93</v>
      </c>
      <c r="M221" s="224"/>
      <c r="N221" s="224"/>
      <c r="O221" s="224"/>
      <c r="P221" s="224"/>
      <c r="Q221" s="224"/>
      <c r="R221" s="224"/>
      <c r="S221" s="224"/>
      <c r="T221" s="224"/>
      <c r="U221" s="224"/>
      <c r="V221" s="224"/>
      <c r="W221" s="224"/>
      <c r="X221" s="224"/>
      <c r="Y221" s="224"/>
      <c r="Z221" s="224"/>
      <c r="AA221" s="224"/>
      <c r="AB221" s="224"/>
      <c r="AC221" s="224"/>
      <c r="AD221" s="224"/>
      <c r="AE221" s="225">
        <v>70.14</v>
      </c>
      <c r="AF221" s="224"/>
      <c r="AG221" s="225">
        <v>218.6</v>
      </c>
      <c r="AH221" s="225">
        <v>288.74</v>
      </c>
      <c r="AI221" s="224"/>
      <c r="AJ221" s="224"/>
      <c r="AK221" s="224"/>
      <c r="AL221" s="225">
        <v>0.73</v>
      </c>
      <c r="AM221" s="225">
        <v>0</v>
      </c>
      <c r="AN221" s="224"/>
      <c r="AO221" s="224"/>
      <c r="AP221" s="225">
        <v>0.73</v>
      </c>
      <c r="AQ221" s="225">
        <v>0</v>
      </c>
      <c r="AR221" s="224"/>
      <c r="AS221" s="224"/>
      <c r="AT221" s="225">
        <v>0</v>
      </c>
      <c r="AU221" s="225">
        <v>10.76</v>
      </c>
      <c r="AV221" s="225">
        <v>10.76</v>
      </c>
      <c r="AW221" s="224"/>
      <c r="AX221" s="224"/>
      <c r="AY221" s="224"/>
      <c r="AZ221" s="224"/>
      <c r="BA221" s="225">
        <v>11.993</v>
      </c>
      <c r="BB221" s="225">
        <v>11.993</v>
      </c>
      <c r="BC221" s="224"/>
      <c r="BD221" s="224"/>
      <c r="BE221" s="224"/>
      <c r="BF221" s="224"/>
      <c r="BG221" s="224"/>
      <c r="BH221" s="224"/>
      <c r="BI221" s="224"/>
      <c r="BJ221" s="225">
        <v>405.22300000000001</v>
      </c>
      <c r="BK221" s="224"/>
      <c r="BL221" s="224"/>
      <c r="BM221" s="224"/>
      <c r="BN221" s="224"/>
      <c r="BO221" s="224"/>
      <c r="BP221" s="224"/>
      <c r="BQ221" s="224"/>
      <c r="BR221" s="224"/>
      <c r="BS221" s="224"/>
      <c r="BT221" s="224"/>
      <c r="BU221" s="224"/>
      <c r="BV221" s="224"/>
      <c r="BW221" s="224"/>
      <c r="BX221" s="224"/>
      <c r="BY221" s="224"/>
      <c r="BZ221" s="224"/>
      <c r="CA221" s="224"/>
      <c r="CB221" s="224"/>
      <c r="CC221" s="224"/>
      <c r="CD221" s="226">
        <v>405.22300000000001</v>
      </c>
    </row>
    <row r="222" spans="1:82" x14ac:dyDescent="0.3">
      <c r="A222" s="221" t="str">
        <f t="shared" si="5"/>
        <v>NON ADDNSTC Crosscuts (excl. HSA)U.S. Global Change Research Program (USGCRP)USGCRP-Science of Adaptation and Science to Inform Adaptation Decisions</v>
      </c>
      <c r="B222" s="6" t="s">
        <v>223</v>
      </c>
      <c r="C222" s="6" t="s">
        <v>260</v>
      </c>
      <c r="D222" s="224" t="s">
        <v>288</v>
      </c>
      <c r="E222" s="224" t="s">
        <v>293</v>
      </c>
      <c r="F222" s="224"/>
      <c r="G222" s="224"/>
      <c r="H222" s="224"/>
      <c r="I222" s="224"/>
      <c r="J222" s="224"/>
      <c r="K222" s="224"/>
      <c r="L222" s="224"/>
      <c r="M222" s="224"/>
      <c r="N222" s="224"/>
      <c r="O222" s="224"/>
      <c r="P222" s="224"/>
      <c r="Q222" s="224"/>
      <c r="R222" s="224"/>
      <c r="S222" s="224"/>
      <c r="T222" s="224"/>
      <c r="U222" s="224"/>
      <c r="V222" s="224"/>
      <c r="W222" s="224"/>
      <c r="X222" s="224"/>
      <c r="Y222" s="224"/>
      <c r="Z222" s="224"/>
      <c r="AA222" s="224"/>
      <c r="AB222" s="224"/>
      <c r="AC222" s="224"/>
      <c r="AD222" s="224"/>
      <c r="AE222" s="225">
        <v>0</v>
      </c>
      <c r="AF222" s="224"/>
      <c r="AG222" s="225">
        <v>9</v>
      </c>
      <c r="AH222" s="225">
        <v>9</v>
      </c>
      <c r="AI222" s="224"/>
      <c r="AJ222" s="224"/>
      <c r="AK222" s="224"/>
      <c r="AL222" s="225">
        <v>0.53</v>
      </c>
      <c r="AM222" s="225">
        <v>0</v>
      </c>
      <c r="AN222" s="224"/>
      <c r="AO222" s="224"/>
      <c r="AP222" s="225">
        <v>0.53</v>
      </c>
      <c r="AQ222" s="225">
        <v>0</v>
      </c>
      <c r="AR222" s="224"/>
      <c r="AS222" s="224"/>
      <c r="AT222" s="225">
        <v>0</v>
      </c>
      <c r="AU222" s="225">
        <v>5.36</v>
      </c>
      <c r="AV222" s="225">
        <v>5.36</v>
      </c>
      <c r="AW222" s="224"/>
      <c r="AX222" s="224"/>
      <c r="AY222" s="224"/>
      <c r="AZ222" s="224"/>
      <c r="BA222" s="224"/>
      <c r="BB222" s="224"/>
      <c r="BC222" s="224"/>
      <c r="BD222" s="224"/>
      <c r="BE222" s="224"/>
      <c r="BF222" s="224"/>
      <c r="BG222" s="224"/>
      <c r="BH222" s="224"/>
      <c r="BI222" s="224"/>
      <c r="BJ222" s="225">
        <v>14.89</v>
      </c>
      <c r="BK222" s="224"/>
      <c r="BL222" s="224"/>
      <c r="BM222" s="224"/>
      <c r="BN222" s="224"/>
      <c r="BO222" s="224"/>
      <c r="BP222" s="224"/>
      <c r="BQ222" s="224"/>
      <c r="BR222" s="224"/>
      <c r="BS222" s="224"/>
      <c r="BT222" s="224"/>
      <c r="BU222" s="224"/>
      <c r="BV222" s="224"/>
      <c r="BW222" s="224"/>
      <c r="BX222" s="224"/>
      <c r="BY222" s="224"/>
      <c r="BZ222" s="224"/>
      <c r="CA222" s="224"/>
      <c r="CB222" s="224"/>
      <c r="CC222" s="224"/>
      <c r="CD222" s="226">
        <v>14.89</v>
      </c>
    </row>
    <row r="223" spans="1:82" x14ac:dyDescent="0.3">
      <c r="A223" s="221" t="str">
        <f t="shared" si="5"/>
        <v>NON ADDOther Non-ADDTotalTotal</v>
      </c>
      <c r="B223" s="6" t="s">
        <v>223</v>
      </c>
      <c r="C223" s="6" t="s">
        <v>294</v>
      </c>
      <c r="D223" s="6" t="s">
        <v>24</v>
      </c>
      <c r="E223" s="6" t="s">
        <v>24</v>
      </c>
      <c r="F223" s="224"/>
      <c r="G223" s="224"/>
      <c r="H223" s="224"/>
      <c r="I223" s="224"/>
      <c r="J223" s="224"/>
      <c r="K223" s="225">
        <v>182.46</v>
      </c>
      <c r="L223" s="225">
        <v>182.46</v>
      </c>
      <c r="M223" s="224"/>
      <c r="N223" s="224"/>
      <c r="O223" s="224"/>
      <c r="P223" s="224"/>
      <c r="Q223" s="225">
        <v>3.5</v>
      </c>
      <c r="R223" s="225">
        <v>22.407</v>
      </c>
      <c r="S223" s="225">
        <v>25.907</v>
      </c>
      <c r="T223" s="224"/>
      <c r="U223" s="224"/>
      <c r="V223" s="224"/>
      <c r="W223" s="224"/>
      <c r="X223" s="224"/>
      <c r="Y223" s="224"/>
      <c r="Z223" s="225">
        <v>143.53</v>
      </c>
      <c r="AA223" s="225">
        <v>143.53</v>
      </c>
      <c r="AB223" s="225">
        <v>0</v>
      </c>
      <c r="AC223" s="225">
        <v>12</v>
      </c>
      <c r="AD223" s="224"/>
      <c r="AE223" s="225">
        <v>19.03</v>
      </c>
      <c r="AF223" s="224"/>
      <c r="AG223" s="225">
        <v>12</v>
      </c>
      <c r="AH223" s="225">
        <v>43.03</v>
      </c>
      <c r="AI223" s="225">
        <v>1.51</v>
      </c>
      <c r="AJ223" s="225">
        <v>6.88</v>
      </c>
      <c r="AK223" s="225">
        <v>15.52</v>
      </c>
      <c r="AL223" s="225">
        <v>3.01</v>
      </c>
      <c r="AM223" s="225">
        <v>83.79</v>
      </c>
      <c r="AN223" s="225">
        <v>8.59</v>
      </c>
      <c r="AO223" s="225">
        <v>0</v>
      </c>
      <c r="AP223" s="225">
        <v>119.3</v>
      </c>
      <c r="AQ223" s="225">
        <v>0</v>
      </c>
      <c r="AR223" s="224"/>
      <c r="AS223" s="224"/>
      <c r="AT223" s="225">
        <v>0</v>
      </c>
      <c r="AU223" s="225">
        <v>17.45</v>
      </c>
      <c r="AV223" s="225">
        <v>17.45</v>
      </c>
      <c r="AW223" s="224"/>
      <c r="AX223" s="224"/>
      <c r="AY223" s="224"/>
      <c r="AZ223" s="224"/>
      <c r="BA223" s="225">
        <v>0.3</v>
      </c>
      <c r="BB223" s="225">
        <v>0.3</v>
      </c>
      <c r="BC223" s="225">
        <v>7.97</v>
      </c>
      <c r="BD223" s="225">
        <v>18.52</v>
      </c>
      <c r="BE223" s="225">
        <v>26.49</v>
      </c>
      <c r="BF223" s="224"/>
      <c r="BG223" s="224"/>
      <c r="BH223" s="224"/>
      <c r="BI223" s="224"/>
      <c r="BJ223" s="225">
        <v>558.46699999999998</v>
      </c>
      <c r="BK223" s="225">
        <v>6.78</v>
      </c>
      <c r="BL223" s="225">
        <v>47.357446000000003</v>
      </c>
      <c r="BM223" s="225">
        <v>247.00532799999999</v>
      </c>
      <c r="BN223" s="225">
        <v>16.64</v>
      </c>
      <c r="BO223" s="224"/>
      <c r="BP223" s="225">
        <v>317.78277400000002</v>
      </c>
      <c r="BQ223" s="225">
        <v>317.78277400000002</v>
      </c>
      <c r="BR223" s="225">
        <v>10.582829</v>
      </c>
      <c r="BS223" s="225">
        <v>10.582829</v>
      </c>
      <c r="BT223" s="225">
        <v>10.582829</v>
      </c>
      <c r="BU223" s="224"/>
      <c r="BV223" s="224"/>
      <c r="BW223" s="224"/>
      <c r="BX223" s="224"/>
      <c r="BY223" s="224"/>
      <c r="BZ223" s="224"/>
      <c r="CA223" s="224"/>
      <c r="CB223" s="224"/>
      <c r="CC223" s="224"/>
      <c r="CD223" s="226">
        <v>886.83260299999995</v>
      </c>
    </row>
    <row r="224" spans="1:82" x14ac:dyDescent="0.3">
      <c r="A224" s="221" t="str">
        <f t="shared" si="5"/>
        <v>NON ADDOther Non-ADDAGEP Graduate Research SupplementsTotal</v>
      </c>
      <c r="B224" s="6" t="s">
        <v>223</v>
      </c>
      <c r="C224" s="6" t="s">
        <v>294</v>
      </c>
      <c r="D224" s="224" t="s">
        <v>295</v>
      </c>
      <c r="E224" s="6" t="s">
        <v>24</v>
      </c>
      <c r="F224" s="224"/>
      <c r="G224" s="224"/>
      <c r="H224" s="224"/>
      <c r="I224" s="224"/>
      <c r="J224" s="224"/>
      <c r="K224" s="224"/>
      <c r="L224" s="224"/>
      <c r="M224" s="224"/>
      <c r="N224" s="224"/>
      <c r="O224" s="224"/>
      <c r="P224" s="224"/>
      <c r="Q224" s="224"/>
      <c r="R224" s="224"/>
      <c r="S224" s="224"/>
      <c r="T224" s="224"/>
      <c r="U224" s="224"/>
      <c r="V224" s="224"/>
      <c r="W224" s="224"/>
      <c r="X224" s="224"/>
      <c r="Y224" s="224"/>
      <c r="Z224" s="224"/>
      <c r="AA224" s="224"/>
      <c r="AB224" s="224"/>
      <c r="AC224" s="224"/>
      <c r="AD224" s="224"/>
      <c r="AE224" s="224"/>
      <c r="AF224" s="224"/>
      <c r="AG224" s="224"/>
      <c r="AH224" s="224"/>
      <c r="AI224" s="225">
        <v>0.21</v>
      </c>
      <c r="AJ224" s="225">
        <v>0.65</v>
      </c>
      <c r="AK224" s="225">
        <v>0.71</v>
      </c>
      <c r="AL224" s="225">
        <v>0.32</v>
      </c>
      <c r="AM224" s="225">
        <v>2.39</v>
      </c>
      <c r="AN224" s="225">
        <v>0.54</v>
      </c>
      <c r="AO224" s="225">
        <v>0</v>
      </c>
      <c r="AP224" s="225">
        <v>4.82</v>
      </c>
      <c r="AQ224" s="224"/>
      <c r="AR224" s="224"/>
      <c r="AS224" s="224"/>
      <c r="AT224" s="224"/>
      <c r="AU224" s="224"/>
      <c r="AV224" s="224"/>
      <c r="AW224" s="224"/>
      <c r="AX224" s="224"/>
      <c r="AY224" s="224"/>
      <c r="AZ224" s="224"/>
      <c r="BA224" s="224"/>
      <c r="BB224" s="224"/>
      <c r="BC224" s="224"/>
      <c r="BD224" s="224"/>
      <c r="BE224" s="224"/>
      <c r="BF224" s="224"/>
      <c r="BG224" s="224"/>
      <c r="BH224" s="224"/>
      <c r="BI224" s="224"/>
      <c r="BJ224" s="225">
        <v>4.82</v>
      </c>
      <c r="BK224" s="224"/>
      <c r="BL224" s="224"/>
      <c r="BM224" s="224"/>
      <c r="BN224" s="224"/>
      <c r="BO224" s="224"/>
      <c r="BP224" s="224"/>
      <c r="BQ224" s="224"/>
      <c r="BR224" s="224"/>
      <c r="BS224" s="224"/>
      <c r="BT224" s="224"/>
      <c r="BU224" s="224"/>
      <c r="BV224" s="224"/>
      <c r="BW224" s="224"/>
      <c r="BX224" s="224"/>
      <c r="BY224" s="224"/>
      <c r="BZ224" s="224"/>
      <c r="CA224" s="224"/>
      <c r="CB224" s="224"/>
      <c r="CC224" s="224"/>
      <c r="CD224" s="226">
        <v>4.82</v>
      </c>
    </row>
    <row r="225" spans="1:82" x14ac:dyDescent="0.3">
      <c r="A225" s="221" t="str">
        <f t="shared" si="5"/>
        <v>NON ADDOther Non-ADDAIMS PreconstructionTotal</v>
      </c>
      <c r="B225" s="6" t="s">
        <v>223</v>
      </c>
      <c r="C225" s="6" t="s">
        <v>294</v>
      </c>
      <c r="D225" s="224" t="s">
        <v>296</v>
      </c>
      <c r="E225" s="6" t="s">
        <v>24</v>
      </c>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5">
        <v>0</v>
      </c>
      <c r="AF225" s="224"/>
      <c r="AG225" s="224"/>
      <c r="AH225" s="225">
        <v>0</v>
      </c>
      <c r="AI225" s="224"/>
      <c r="AJ225" s="224"/>
      <c r="AK225" s="224"/>
      <c r="AL225" s="224"/>
      <c r="AM225" s="224"/>
      <c r="AN225" s="224"/>
      <c r="AO225" s="224"/>
      <c r="AP225" s="224"/>
      <c r="AQ225" s="224"/>
      <c r="AR225" s="224"/>
      <c r="AS225" s="224"/>
      <c r="AT225" s="224"/>
      <c r="AU225" s="224"/>
      <c r="AV225" s="224"/>
      <c r="AW225" s="224"/>
      <c r="AX225" s="224"/>
      <c r="AY225" s="224"/>
      <c r="AZ225" s="224"/>
      <c r="BA225" s="224"/>
      <c r="BB225" s="224"/>
      <c r="BC225" s="224"/>
      <c r="BD225" s="224"/>
      <c r="BE225" s="224"/>
      <c r="BF225" s="224"/>
      <c r="BG225" s="224"/>
      <c r="BH225" s="224"/>
      <c r="BI225" s="224"/>
      <c r="BJ225" s="225">
        <v>0</v>
      </c>
      <c r="BK225" s="224"/>
      <c r="BL225" s="224"/>
      <c r="BM225" s="224"/>
      <c r="BN225" s="224"/>
      <c r="BO225" s="224"/>
      <c r="BP225" s="224"/>
      <c r="BQ225" s="224"/>
      <c r="BR225" s="224"/>
      <c r="BS225" s="224"/>
      <c r="BT225" s="224"/>
      <c r="BU225" s="224"/>
      <c r="BV225" s="224"/>
      <c r="BW225" s="224"/>
      <c r="BX225" s="224"/>
      <c r="BY225" s="224"/>
      <c r="BZ225" s="224"/>
      <c r="CA225" s="224"/>
      <c r="CB225" s="224"/>
      <c r="CC225" s="224"/>
      <c r="CD225" s="226">
        <v>0</v>
      </c>
    </row>
    <row r="226" spans="1:82" x14ac:dyDescent="0.3">
      <c r="A226" s="221" t="str">
        <f t="shared" si="5"/>
        <v>NON ADDOther Non-ADDAntarctic Research VesselTotal</v>
      </c>
      <c r="B226" s="6" t="s">
        <v>223</v>
      </c>
      <c r="C226" s="6" t="s">
        <v>294</v>
      </c>
      <c r="D226" s="224" t="s">
        <v>297</v>
      </c>
      <c r="E226" s="6" t="s">
        <v>24</v>
      </c>
      <c r="F226" s="224"/>
      <c r="G226" s="224"/>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4"/>
      <c r="AD226" s="224"/>
      <c r="AE226" s="225">
        <v>7.44</v>
      </c>
      <c r="AF226" s="224"/>
      <c r="AG226" s="224"/>
      <c r="AH226" s="225">
        <v>7.44</v>
      </c>
      <c r="AI226" s="224"/>
      <c r="AJ226" s="224"/>
      <c r="AK226" s="224"/>
      <c r="AL226" s="224"/>
      <c r="AM226" s="224"/>
      <c r="AN226" s="224"/>
      <c r="AO226" s="224"/>
      <c r="AP226" s="224"/>
      <c r="AQ226" s="224"/>
      <c r="AR226" s="224"/>
      <c r="AS226" s="224"/>
      <c r="AT226" s="224"/>
      <c r="AU226" s="224"/>
      <c r="AV226" s="224"/>
      <c r="AW226" s="224"/>
      <c r="AX226" s="224"/>
      <c r="AY226" s="224"/>
      <c r="AZ226" s="224"/>
      <c r="BA226" s="224"/>
      <c r="BB226" s="224"/>
      <c r="BC226" s="224"/>
      <c r="BD226" s="224"/>
      <c r="BE226" s="224"/>
      <c r="BF226" s="224"/>
      <c r="BG226" s="224"/>
      <c r="BH226" s="224"/>
      <c r="BI226" s="224"/>
      <c r="BJ226" s="225">
        <v>7.44</v>
      </c>
      <c r="BK226" s="224"/>
      <c r="BL226" s="224"/>
      <c r="BM226" s="224"/>
      <c r="BN226" s="224"/>
      <c r="BO226" s="224"/>
      <c r="BP226" s="224"/>
      <c r="BQ226" s="224"/>
      <c r="BR226" s="224"/>
      <c r="BS226" s="224"/>
      <c r="BT226" s="224"/>
      <c r="BU226" s="224"/>
      <c r="BV226" s="224"/>
      <c r="BW226" s="224"/>
      <c r="BX226" s="224"/>
      <c r="BY226" s="224"/>
      <c r="BZ226" s="224"/>
      <c r="CA226" s="224"/>
      <c r="CB226" s="224"/>
      <c r="CC226" s="224"/>
      <c r="CD226" s="226">
        <v>7.44</v>
      </c>
    </row>
    <row r="227" spans="1:82" x14ac:dyDescent="0.3">
      <c r="A227" s="221" t="str">
        <f t="shared" si="5"/>
        <v>NON ADDOther Non-ADDBroadening Participation in Biology Fellowships (incl. in PRFB)Total</v>
      </c>
      <c r="B227" s="6" t="s">
        <v>223</v>
      </c>
      <c r="C227" s="6" t="s">
        <v>294</v>
      </c>
      <c r="D227" s="224" t="s">
        <v>298</v>
      </c>
      <c r="E227" s="6" t="s">
        <v>24</v>
      </c>
      <c r="F227" s="224"/>
      <c r="G227" s="224"/>
      <c r="H227" s="224"/>
      <c r="I227" s="224"/>
      <c r="J227" s="224"/>
      <c r="K227" s="225">
        <v>3.45</v>
      </c>
      <c r="L227" s="225">
        <v>3.45</v>
      </c>
      <c r="M227" s="224"/>
      <c r="N227" s="224"/>
      <c r="O227" s="224"/>
      <c r="P227" s="224"/>
      <c r="Q227" s="224"/>
      <c r="R227" s="224"/>
      <c r="S227" s="224"/>
      <c r="T227" s="224"/>
      <c r="U227" s="224"/>
      <c r="V227" s="224"/>
      <c r="W227" s="224"/>
      <c r="X227" s="224"/>
      <c r="Y227" s="224"/>
      <c r="Z227" s="224"/>
      <c r="AA227" s="224"/>
      <c r="AB227" s="224"/>
      <c r="AC227" s="224"/>
      <c r="AD227" s="224"/>
      <c r="AE227" s="224"/>
      <c r="AF227" s="224"/>
      <c r="AG227" s="224"/>
      <c r="AH227" s="224"/>
      <c r="AI227" s="224"/>
      <c r="AJ227" s="224"/>
      <c r="AK227" s="224"/>
      <c r="AL227" s="224"/>
      <c r="AM227" s="224"/>
      <c r="AN227" s="224"/>
      <c r="AO227" s="224"/>
      <c r="AP227" s="224"/>
      <c r="AQ227" s="224"/>
      <c r="AR227" s="224"/>
      <c r="AS227" s="224"/>
      <c r="AT227" s="224"/>
      <c r="AU227" s="224"/>
      <c r="AV227" s="224"/>
      <c r="AW227" s="224"/>
      <c r="AX227" s="224"/>
      <c r="AY227" s="224"/>
      <c r="AZ227" s="224"/>
      <c r="BA227" s="224"/>
      <c r="BB227" s="224"/>
      <c r="BC227" s="224"/>
      <c r="BD227" s="224"/>
      <c r="BE227" s="224"/>
      <c r="BF227" s="224"/>
      <c r="BG227" s="224"/>
      <c r="BH227" s="224"/>
      <c r="BI227" s="224"/>
      <c r="BJ227" s="225">
        <v>3.45</v>
      </c>
      <c r="BK227" s="224"/>
      <c r="BL227" s="224"/>
      <c r="BM227" s="224"/>
      <c r="BN227" s="224"/>
      <c r="BO227" s="224"/>
      <c r="BP227" s="224"/>
      <c r="BQ227" s="224"/>
      <c r="BR227" s="224"/>
      <c r="BS227" s="224"/>
      <c r="BT227" s="224"/>
      <c r="BU227" s="224"/>
      <c r="BV227" s="224"/>
      <c r="BW227" s="224"/>
      <c r="BX227" s="224"/>
      <c r="BY227" s="224"/>
      <c r="BZ227" s="224"/>
      <c r="CA227" s="224"/>
      <c r="CB227" s="224"/>
      <c r="CC227" s="224"/>
      <c r="CD227" s="226">
        <v>3.45</v>
      </c>
    </row>
    <row r="228" spans="1:82" x14ac:dyDescent="0.3">
      <c r="A228" s="221" t="str">
        <f t="shared" si="5"/>
        <v>NON ADDOther Non-ADDBroadening Participation in Engineering (BPE)Total</v>
      </c>
      <c r="B228" s="6" t="s">
        <v>223</v>
      </c>
      <c r="C228" s="6" t="s">
        <v>294</v>
      </c>
      <c r="D228" s="224" t="s">
        <v>299</v>
      </c>
      <c r="E228" s="6" t="s">
        <v>24</v>
      </c>
      <c r="F228" s="224"/>
      <c r="G228" s="224"/>
      <c r="H228" s="224"/>
      <c r="I228" s="224"/>
      <c r="J228" s="224"/>
      <c r="K228" s="224"/>
      <c r="L228" s="224"/>
      <c r="M228" s="224"/>
      <c r="N228" s="224"/>
      <c r="O228" s="224"/>
      <c r="P228" s="224"/>
      <c r="Q228" s="224"/>
      <c r="R228" s="224"/>
      <c r="S228" s="224"/>
      <c r="T228" s="224"/>
      <c r="U228" s="224"/>
      <c r="V228" s="224"/>
      <c r="W228" s="224"/>
      <c r="X228" s="224"/>
      <c r="Y228" s="224"/>
      <c r="Z228" s="225">
        <v>6</v>
      </c>
      <c r="AA228" s="225">
        <v>6</v>
      </c>
      <c r="AB228" s="224"/>
      <c r="AC228" s="224"/>
      <c r="AD228" s="224"/>
      <c r="AE228" s="224"/>
      <c r="AF228" s="224"/>
      <c r="AG228" s="224"/>
      <c r="AH228" s="224"/>
      <c r="AI228" s="224"/>
      <c r="AJ228" s="224"/>
      <c r="AK228" s="224"/>
      <c r="AL228" s="224"/>
      <c r="AM228" s="224"/>
      <c r="AN228" s="224"/>
      <c r="AO228" s="224"/>
      <c r="AP228" s="224"/>
      <c r="AQ228" s="224"/>
      <c r="AR228" s="224"/>
      <c r="AS228" s="224"/>
      <c r="AT228" s="224"/>
      <c r="AU228" s="224"/>
      <c r="AV228" s="224"/>
      <c r="AW228" s="224"/>
      <c r="AX228" s="224"/>
      <c r="AY228" s="224"/>
      <c r="AZ228" s="224"/>
      <c r="BA228" s="224"/>
      <c r="BB228" s="224"/>
      <c r="BC228" s="224"/>
      <c r="BD228" s="224"/>
      <c r="BE228" s="224"/>
      <c r="BF228" s="224"/>
      <c r="BG228" s="224"/>
      <c r="BH228" s="224"/>
      <c r="BI228" s="224"/>
      <c r="BJ228" s="225">
        <v>6</v>
      </c>
      <c r="BK228" s="224"/>
      <c r="BL228" s="224"/>
      <c r="BM228" s="224"/>
      <c r="BN228" s="224"/>
      <c r="BO228" s="224"/>
      <c r="BP228" s="224"/>
      <c r="BQ228" s="224"/>
      <c r="BR228" s="224"/>
      <c r="BS228" s="224"/>
      <c r="BT228" s="224"/>
      <c r="BU228" s="224"/>
      <c r="BV228" s="224"/>
      <c r="BW228" s="224"/>
      <c r="BX228" s="224"/>
      <c r="BY228" s="224"/>
      <c r="BZ228" s="224"/>
      <c r="CA228" s="224"/>
      <c r="CB228" s="224"/>
      <c r="CC228" s="224"/>
      <c r="CD228" s="226">
        <v>6</v>
      </c>
    </row>
    <row r="229" spans="1:82" x14ac:dyDescent="0.3">
      <c r="A229" s="221" t="str">
        <f t="shared" si="5"/>
        <v>NON ADDOther Non-ADDCISE Education and WorkforceTotal</v>
      </c>
      <c r="B229" s="6" t="s">
        <v>223</v>
      </c>
      <c r="C229" s="6" t="s">
        <v>294</v>
      </c>
      <c r="D229" s="224" t="s">
        <v>300</v>
      </c>
      <c r="E229" s="6" t="s">
        <v>24</v>
      </c>
      <c r="F229" s="224"/>
      <c r="G229" s="224"/>
      <c r="H229" s="224"/>
      <c r="I229" s="224"/>
      <c r="J229" s="224"/>
      <c r="K229" s="224"/>
      <c r="L229" s="224"/>
      <c r="M229" s="224"/>
      <c r="N229" s="224"/>
      <c r="O229" s="224"/>
      <c r="P229" s="224"/>
      <c r="Q229" s="224"/>
      <c r="R229" s="225">
        <v>15.648999999999999</v>
      </c>
      <c r="S229" s="225">
        <v>15.648999999999999</v>
      </c>
      <c r="T229" s="224"/>
      <c r="U229" s="224"/>
      <c r="V229" s="224"/>
      <c r="W229" s="224"/>
      <c r="X229" s="224"/>
      <c r="Y229" s="224"/>
      <c r="Z229" s="224"/>
      <c r="AA229" s="224"/>
      <c r="AB229" s="224"/>
      <c r="AC229" s="224"/>
      <c r="AD229" s="224"/>
      <c r="AE229" s="224"/>
      <c r="AF229" s="224"/>
      <c r="AG229" s="224"/>
      <c r="AH229" s="224"/>
      <c r="AI229" s="224"/>
      <c r="AJ229" s="224"/>
      <c r="AK229" s="224"/>
      <c r="AL229" s="224"/>
      <c r="AM229" s="224"/>
      <c r="AN229" s="224"/>
      <c r="AO229" s="224"/>
      <c r="AP229" s="224"/>
      <c r="AQ229" s="224"/>
      <c r="AR229" s="224"/>
      <c r="AS229" s="224"/>
      <c r="AT229" s="224"/>
      <c r="AU229" s="224"/>
      <c r="AV229" s="224"/>
      <c r="AW229" s="224"/>
      <c r="AX229" s="224"/>
      <c r="AY229" s="224"/>
      <c r="AZ229" s="224"/>
      <c r="BA229" s="224"/>
      <c r="BB229" s="224"/>
      <c r="BC229" s="224"/>
      <c r="BD229" s="224"/>
      <c r="BE229" s="224"/>
      <c r="BF229" s="224"/>
      <c r="BG229" s="224"/>
      <c r="BH229" s="224"/>
      <c r="BI229" s="224"/>
      <c r="BJ229" s="225">
        <v>15.648999999999999</v>
      </c>
      <c r="BK229" s="224"/>
      <c r="BL229" s="224"/>
      <c r="BM229" s="224"/>
      <c r="BN229" s="224"/>
      <c r="BO229" s="224"/>
      <c r="BP229" s="224"/>
      <c r="BQ229" s="224"/>
      <c r="BR229" s="224"/>
      <c r="BS229" s="224"/>
      <c r="BT229" s="224"/>
      <c r="BU229" s="224"/>
      <c r="BV229" s="224"/>
      <c r="BW229" s="224"/>
      <c r="BX229" s="224"/>
      <c r="BY229" s="224"/>
      <c r="BZ229" s="224"/>
      <c r="CA229" s="224"/>
      <c r="CB229" s="224"/>
      <c r="CC229" s="224"/>
      <c r="CD229" s="226">
        <v>15.648999999999999</v>
      </c>
    </row>
    <row r="230" spans="1:82" x14ac:dyDescent="0.3">
      <c r="A230" s="221" t="str">
        <f t="shared" si="5"/>
        <v>NON ADDOther Non-ADDCISE-MSI Research Expansion ProgramTotal</v>
      </c>
      <c r="B230" s="6" t="s">
        <v>223</v>
      </c>
      <c r="C230" s="6" t="s">
        <v>294</v>
      </c>
      <c r="D230" s="224" t="s">
        <v>301</v>
      </c>
      <c r="E230" s="6" t="s">
        <v>24</v>
      </c>
      <c r="F230" s="224"/>
      <c r="G230" s="224"/>
      <c r="H230" s="224"/>
      <c r="I230" s="224"/>
      <c r="J230" s="224"/>
      <c r="K230" s="224"/>
      <c r="L230" s="224"/>
      <c r="M230" s="224"/>
      <c r="N230" s="224"/>
      <c r="O230" s="224"/>
      <c r="P230" s="224"/>
      <c r="Q230" s="224"/>
      <c r="R230" s="225">
        <v>3.0649999999999999</v>
      </c>
      <c r="S230" s="225">
        <v>3.0649999999999999</v>
      </c>
      <c r="T230" s="224"/>
      <c r="U230" s="224"/>
      <c r="V230" s="224"/>
      <c r="W230" s="224"/>
      <c r="X230" s="224"/>
      <c r="Y230" s="224"/>
      <c r="Z230" s="224"/>
      <c r="AA230" s="224"/>
      <c r="AB230" s="224"/>
      <c r="AC230" s="224"/>
      <c r="AD230" s="224"/>
      <c r="AE230" s="224"/>
      <c r="AF230" s="224"/>
      <c r="AG230" s="224"/>
      <c r="AH230" s="224"/>
      <c r="AI230" s="224"/>
      <c r="AJ230" s="224"/>
      <c r="AK230" s="224"/>
      <c r="AL230" s="224"/>
      <c r="AM230" s="224"/>
      <c r="AN230" s="224"/>
      <c r="AO230" s="224"/>
      <c r="AP230" s="224"/>
      <c r="AQ230" s="224"/>
      <c r="AR230" s="224"/>
      <c r="AS230" s="224"/>
      <c r="AT230" s="224"/>
      <c r="AU230" s="224"/>
      <c r="AV230" s="224"/>
      <c r="AW230" s="224"/>
      <c r="AX230" s="224"/>
      <c r="AY230" s="224"/>
      <c r="AZ230" s="224"/>
      <c r="BA230" s="224"/>
      <c r="BB230" s="224"/>
      <c r="BC230" s="224"/>
      <c r="BD230" s="224"/>
      <c r="BE230" s="224"/>
      <c r="BF230" s="224"/>
      <c r="BG230" s="224"/>
      <c r="BH230" s="224"/>
      <c r="BI230" s="224"/>
      <c r="BJ230" s="225">
        <v>3.0649999999999999</v>
      </c>
      <c r="BK230" s="224"/>
      <c r="BL230" s="224"/>
      <c r="BM230" s="224"/>
      <c r="BN230" s="224"/>
      <c r="BO230" s="224"/>
      <c r="BP230" s="224"/>
      <c r="BQ230" s="224"/>
      <c r="BR230" s="224"/>
      <c r="BS230" s="224"/>
      <c r="BT230" s="224"/>
      <c r="BU230" s="224"/>
      <c r="BV230" s="224"/>
      <c r="BW230" s="224"/>
      <c r="BX230" s="224"/>
      <c r="BY230" s="224"/>
      <c r="BZ230" s="224"/>
      <c r="CA230" s="224"/>
      <c r="CB230" s="224"/>
      <c r="CC230" s="224"/>
      <c r="CD230" s="226">
        <v>3.0649999999999999</v>
      </c>
    </row>
    <row r="231" spans="1:82" x14ac:dyDescent="0.3">
      <c r="A231" s="221" t="str">
        <f t="shared" si="5"/>
        <v>NON ADDOther Non-ADDCOVID Disproportionate Impacts to Institutions/IndividualsTotal</v>
      </c>
      <c r="B231" s="6" t="s">
        <v>223</v>
      </c>
      <c r="C231" s="6" t="s">
        <v>294</v>
      </c>
      <c r="D231" s="224" t="s">
        <v>302</v>
      </c>
      <c r="E231" s="6" t="s">
        <v>24</v>
      </c>
      <c r="F231" s="224"/>
      <c r="G231" s="224"/>
      <c r="H231" s="224"/>
      <c r="I231" s="224"/>
      <c r="J231" s="224"/>
      <c r="K231" s="225">
        <v>60.02</v>
      </c>
      <c r="L231" s="225">
        <v>60.02</v>
      </c>
      <c r="M231" s="224"/>
      <c r="N231" s="224"/>
      <c r="O231" s="224"/>
      <c r="P231" s="224"/>
      <c r="Q231" s="224"/>
      <c r="R231" s="224"/>
      <c r="S231" s="224"/>
      <c r="T231" s="224"/>
      <c r="U231" s="224"/>
      <c r="V231" s="224"/>
      <c r="W231" s="224"/>
      <c r="X231" s="224"/>
      <c r="Y231" s="224"/>
      <c r="Z231" s="225">
        <v>14.79</v>
      </c>
      <c r="AA231" s="225">
        <v>14.79</v>
      </c>
      <c r="AB231" s="224"/>
      <c r="AC231" s="224"/>
      <c r="AD231" s="224"/>
      <c r="AE231" s="225">
        <v>3.48</v>
      </c>
      <c r="AF231" s="224"/>
      <c r="AG231" s="224"/>
      <c r="AH231" s="225">
        <v>3.48</v>
      </c>
      <c r="AI231" s="224"/>
      <c r="AJ231" s="224"/>
      <c r="AK231" s="224"/>
      <c r="AL231" s="224"/>
      <c r="AM231" s="224"/>
      <c r="AN231" s="224"/>
      <c r="AO231" s="224"/>
      <c r="AP231" s="224"/>
      <c r="AQ231" s="224"/>
      <c r="AR231" s="224"/>
      <c r="AS231" s="224"/>
      <c r="AT231" s="224"/>
      <c r="AU231" s="225">
        <v>0</v>
      </c>
      <c r="AV231" s="225">
        <v>0</v>
      </c>
      <c r="AW231" s="224"/>
      <c r="AX231" s="224"/>
      <c r="AY231" s="224"/>
      <c r="AZ231" s="224"/>
      <c r="BA231" s="224"/>
      <c r="BB231" s="224"/>
      <c r="BC231" s="225">
        <v>0</v>
      </c>
      <c r="BD231" s="225">
        <v>0</v>
      </c>
      <c r="BE231" s="225">
        <v>0</v>
      </c>
      <c r="BF231" s="224"/>
      <c r="BG231" s="224"/>
      <c r="BH231" s="224"/>
      <c r="BI231" s="224"/>
      <c r="BJ231" s="225">
        <v>78.290000000000006</v>
      </c>
      <c r="BK231" s="224"/>
      <c r="BL231" s="224"/>
      <c r="BM231" s="224"/>
      <c r="BN231" s="224"/>
      <c r="BO231" s="224"/>
      <c r="BP231" s="224"/>
      <c r="BQ231" s="224"/>
      <c r="BR231" s="224"/>
      <c r="BS231" s="224"/>
      <c r="BT231" s="224"/>
      <c r="BU231" s="224"/>
      <c r="BV231" s="224"/>
      <c r="BW231" s="224"/>
      <c r="BX231" s="224"/>
      <c r="BY231" s="224"/>
      <c r="BZ231" s="224"/>
      <c r="CA231" s="224"/>
      <c r="CB231" s="224"/>
      <c r="CC231" s="224"/>
      <c r="CD231" s="226">
        <v>78.290000000000006</v>
      </c>
    </row>
    <row r="232" spans="1:82" x14ac:dyDescent="0.3">
      <c r="A232" s="221" t="str">
        <f t="shared" si="5"/>
        <v>NON ADDOther Non-ADDCOVID ResearchTotal</v>
      </c>
      <c r="B232" s="6" t="s">
        <v>223</v>
      </c>
      <c r="C232" s="6" t="s">
        <v>294</v>
      </c>
      <c r="D232" s="224" t="s">
        <v>303</v>
      </c>
      <c r="E232" s="6" t="s">
        <v>24</v>
      </c>
      <c r="F232" s="224"/>
      <c r="G232" s="224"/>
      <c r="H232" s="224"/>
      <c r="I232" s="224"/>
      <c r="J232" s="224"/>
      <c r="K232" s="225">
        <v>17.2</v>
      </c>
      <c r="L232" s="225">
        <v>17.2</v>
      </c>
      <c r="M232" s="224"/>
      <c r="N232" s="224"/>
      <c r="O232" s="224"/>
      <c r="P232" s="224"/>
      <c r="Q232" s="224"/>
      <c r="R232" s="224"/>
      <c r="S232" s="224"/>
      <c r="T232" s="224"/>
      <c r="U232" s="224"/>
      <c r="V232" s="224"/>
      <c r="W232" s="224"/>
      <c r="X232" s="224"/>
      <c r="Y232" s="224"/>
      <c r="Z232" s="225">
        <v>11.69</v>
      </c>
      <c r="AA232" s="225">
        <v>11.69</v>
      </c>
      <c r="AB232" s="224"/>
      <c r="AC232" s="224"/>
      <c r="AD232" s="224"/>
      <c r="AE232" s="225">
        <v>0.86</v>
      </c>
      <c r="AF232" s="224"/>
      <c r="AG232" s="224"/>
      <c r="AH232" s="225">
        <v>0.86</v>
      </c>
      <c r="AI232" s="224"/>
      <c r="AJ232" s="224"/>
      <c r="AK232" s="224"/>
      <c r="AL232" s="224"/>
      <c r="AM232" s="224"/>
      <c r="AN232" s="224"/>
      <c r="AO232" s="224"/>
      <c r="AP232" s="224"/>
      <c r="AQ232" s="224"/>
      <c r="AR232" s="224"/>
      <c r="AS232" s="224"/>
      <c r="AT232" s="224"/>
      <c r="AU232" s="225">
        <v>5.24</v>
      </c>
      <c r="AV232" s="225">
        <v>5.24</v>
      </c>
      <c r="AW232" s="224"/>
      <c r="AX232" s="224"/>
      <c r="AY232" s="224"/>
      <c r="AZ232" s="224"/>
      <c r="BA232" s="224"/>
      <c r="BB232" s="224"/>
      <c r="BC232" s="224"/>
      <c r="BD232" s="224"/>
      <c r="BE232" s="224"/>
      <c r="BF232" s="224"/>
      <c r="BG232" s="224"/>
      <c r="BH232" s="224"/>
      <c r="BI232" s="224"/>
      <c r="BJ232" s="225">
        <v>34.99</v>
      </c>
      <c r="BK232" s="224"/>
      <c r="BL232" s="224"/>
      <c r="BM232" s="224"/>
      <c r="BN232" s="224"/>
      <c r="BO232" s="224"/>
      <c r="BP232" s="224"/>
      <c r="BQ232" s="224"/>
      <c r="BR232" s="224"/>
      <c r="BS232" s="224"/>
      <c r="BT232" s="224"/>
      <c r="BU232" s="224"/>
      <c r="BV232" s="224"/>
      <c r="BW232" s="224"/>
      <c r="BX232" s="224"/>
      <c r="BY232" s="224"/>
      <c r="BZ232" s="224"/>
      <c r="CA232" s="224"/>
      <c r="CB232" s="224"/>
      <c r="CC232" s="224"/>
      <c r="CD232" s="226">
        <v>34.99</v>
      </c>
    </row>
    <row r="233" spans="1:82" x14ac:dyDescent="0.3">
      <c r="A233" s="221" t="str">
        <f t="shared" si="5"/>
        <v>NON ADDOther Non-ADDCOVID-19 ImpactsTotal</v>
      </c>
      <c r="B233" s="6" t="s">
        <v>223</v>
      </c>
      <c r="C233" s="6" t="s">
        <v>294</v>
      </c>
      <c r="D233" s="224" t="s">
        <v>304</v>
      </c>
      <c r="E233" s="6" t="s">
        <v>24</v>
      </c>
      <c r="F233" s="224"/>
      <c r="G233" s="224"/>
      <c r="H233" s="224"/>
      <c r="I233" s="224"/>
      <c r="J233" s="224"/>
      <c r="K233" s="225">
        <v>10.16</v>
      </c>
      <c r="L233" s="225">
        <v>10.16</v>
      </c>
      <c r="M233" s="224"/>
      <c r="N233" s="224"/>
      <c r="O233" s="224"/>
      <c r="P233" s="224"/>
      <c r="Q233" s="224"/>
      <c r="R233" s="224"/>
      <c r="S233" s="224"/>
      <c r="T233" s="224"/>
      <c r="U233" s="224"/>
      <c r="V233" s="224"/>
      <c r="W233" s="224"/>
      <c r="X233" s="224"/>
      <c r="Y233" s="224"/>
      <c r="Z233" s="225">
        <v>1.32</v>
      </c>
      <c r="AA233" s="225">
        <v>1.32</v>
      </c>
      <c r="AB233" s="224"/>
      <c r="AC233" s="224"/>
      <c r="AD233" s="224"/>
      <c r="AE233" s="225">
        <v>2.11</v>
      </c>
      <c r="AF233" s="224"/>
      <c r="AG233" s="224"/>
      <c r="AH233" s="225">
        <v>2.11</v>
      </c>
      <c r="AI233" s="224"/>
      <c r="AJ233" s="224"/>
      <c r="AK233" s="224"/>
      <c r="AL233" s="224"/>
      <c r="AM233" s="224"/>
      <c r="AN233" s="224"/>
      <c r="AO233" s="224"/>
      <c r="AP233" s="224"/>
      <c r="AQ233" s="224"/>
      <c r="AR233" s="224"/>
      <c r="AS233" s="224"/>
      <c r="AT233" s="224"/>
      <c r="AU233" s="224"/>
      <c r="AV233" s="224"/>
      <c r="AW233" s="224"/>
      <c r="AX233" s="224"/>
      <c r="AY233" s="224"/>
      <c r="AZ233" s="224"/>
      <c r="BA233" s="224"/>
      <c r="BB233" s="224"/>
      <c r="BC233" s="224"/>
      <c r="BD233" s="224"/>
      <c r="BE233" s="224"/>
      <c r="BF233" s="224"/>
      <c r="BG233" s="224"/>
      <c r="BH233" s="224"/>
      <c r="BI233" s="224"/>
      <c r="BJ233" s="225">
        <v>13.59</v>
      </c>
      <c r="BK233" s="224"/>
      <c r="BL233" s="224"/>
      <c r="BM233" s="224"/>
      <c r="BN233" s="224"/>
      <c r="BO233" s="224"/>
      <c r="BP233" s="224"/>
      <c r="BQ233" s="224"/>
      <c r="BR233" s="224"/>
      <c r="BS233" s="224"/>
      <c r="BT233" s="224"/>
      <c r="BU233" s="224"/>
      <c r="BV233" s="224"/>
      <c r="BW233" s="224"/>
      <c r="BX233" s="224"/>
      <c r="BY233" s="224"/>
      <c r="BZ233" s="224"/>
      <c r="CA233" s="224"/>
      <c r="CB233" s="224"/>
      <c r="CC233" s="224"/>
      <c r="CD233" s="226">
        <v>13.59</v>
      </c>
    </row>
    <row r="234" spans="1:82" x14ac:dyDescent="0.3">
      <c r="A234" s="221" t="str">
        <f t="shared" si="5"/>
        <v>NON ADDOther Non-ADDDisability and Rehabilitation Engineering (DARE)Total</v>
      </c>
      <c r="B234" s="6" t="s">
        <v>223</v>
      </c>
      <c r="C234" s="6" t="s">
        <v>294</v>
      </c>
      <c r="D234" s="224" t="s">
        <v>305</v>
      </c>
      <c r="E234" s="6" t="s">
        <v>24</v>
      </c>
      <c r="F234" s="224"/>
      <c r="G234" s="224"/>
      <c r="H234" s="224"/>
      <c r="I234" s="224"/>
      <c r="J234" s="224"/>
      <c r="K234" s="224"/>
      <c r="L234" s="224"/>
      <c r="M234" s="224"/>
      <c r="N234" s="224"/>
      <c r="O234" s="224"/>
      <c r="P234" s="224"/>
      <c r="Q234" s="224"/>
      <c r="R234" s="224"/>
      <c r="S234" s="224"/>
      <c r="T234" s="224"/>
      <c r="U234" s="224"/>
      <c r="V234" s="224"/>
      <c r="W234" s="224"/>
      <c r="X234" s="224"/>
      <c r="Y234" s="224"/>
      <c r="Z234" s="225">
        <v>5.66</v>
      </c>
      <c r="AA234" s="225">
        <v>5.66</v>
      </c>
      <c r="AB234" s="224"/>
      <c r="AC234" s="224"/>
      <c r="AD234" s="224"/>
      <c r="AE234" s="224"/>
      <c r="AF234" s="224"/>
      <c r="AG234" s="224"/>
      <c r="AH234" s="224"/>
      <c r="AI234" s="224"/>
      <c r="AJ234" s="224"/>
      <c r="AK234" s="224"/>
      <c r="AL234" s="224"/>
      <c r="AM234" s="224"/>
      <c r="AN234" s="224"/>
      <c r="AO234" s="224"/>
      <c r="AP234" s="224"/>
      <c r="AQ234" s="224"/>
      <c r="AR234" s="224"/>
      <c r="AS234" s="224"/>
      <c r="AT234" s="224"/>
      <c r="AU234" s="224"/>
      <c r="AV234" s="224"/>
      <c r="AW234" s="224"/>
      <c r="AX234" s="224"/>
      <c r="AY234" s="224"/>
      <c r="AZ234" s="224"/>
      <c r="BA234" s="224"/>
      <c r="BB234" s="224"/>
      <c r="BC234" s="224"/>
      <c r="BD234" s="224"/>
      <c r="BE234" s="224"/>
      <c r="BF234" s="224"/>
      <c r="BG234" s="224"/>
      <c r="BH234" s="224"/>
      <c r="BI234" s="224"/>
      <c r="BJ234" s="225">
        <v>5.66</v>
      </c>
      <c r="BK234" s="224"/>
      <c r="BL234" s="224"/>
      <c r="BM234" s="224"/>
      <c r="BN234" s="224"/>
      <c r="BO234" s="224"/>
      <c r="BP234" s="224"/>
      <c r="BQ234" s="224"/>
      <c r="BR234" s="224"/>
      <c r="BS234" s="224"/>
      <c r="BT234" s="224"/>
      <c r="BU234" s="224"/>
      <c r="BV234" s="224"/>
      <c r="BW234" s="224"/>
      <c r="BX234" s="224"/>
      <c r="BY234" s="224"/>
      <c r="BZ234" s="224"/>
      <c r="CA234" s="224"/>
      <c r="CB234" s="224"/>
      <c r="CC234" s="224"/>
      <c r="CD234" s="226">
        <v>5.66</v>
      </c>
    </row>
    <row r="235" spans="1:82" x14ac:dyDescent="0.3">
      <c r="A235" s="221" t="str">
        <f t="shared" si="5"/>
        <v>NON ADDOther Non-ADDEthical and Responsible Research (ER2)Total</v>
      </c>
      <c r="B235" s="6" t="s">
        <v>223</v>
      </c>
      <c r="C235" s="6" t="s">
        <v>294</v>
      </c>
      <c r="D235" s="224" t="s">
        <v>306</v>
      </c>
      <c r="E235" s="6" t="s">
        <v>24</v>
      </c>
      <c r="F235" s="224"/>
      <c r="G235" s="224"/>
      <c r="H235" s="224"/>
      <c r="I235" s="224"/>
      <c r="J235" s="224"/>
      <c r="K235" s="225">
        <v>0.6</v>
      </c>
      <c r="L235" s="225">
        <v>0.6</v>
      </c>
      <c r="M235" s="224"/>
      <c r="N235" s="224"/>
      <c r="O235" s="224"/>
      <c r="P235" s="224"/>
      <c r="Q235" s="224"/>
      <c r="R235" s="225">
        <v>0.75</v>
      </c>
      <c r="S235" s="225">
        <v>0.75</v>
      </c>
      <c r="T235" s="224"/>
      <c r="U235" s="224"/>
      <c r="V235" s="224"/>
      <c r="W235" s="224"/>
      <c r="X235" s="224"/>
      <c r="Y235" s="224"/>
      <c r="Z235" s="225">
        <v>0.4</v>
      </c>
      <c r="AA235" s="225">
        <v>0.4</v>
      </c>
      <c r="AB235" s="224"/>
      <c r="AC235" s="224"/>
      <c r="AD235" s="224"/>
      <c r="AE235" s="224"/>
      <c r="AF235" s="224"/>
      <c r="AG235" s="224"/>
      <c r="AH235" s="224"/>
      <c r="AI235" s="224"/>
      <c r="AJ235" s="224"/>
      <c r="AK235" s="224"/>
      <c r="AL235" s="224"/>
      <c r="AM235" s="224"/>
      <c r="AN235" s="224"/>
      <c r="AO235" s="224"/>
      <c r="AP235" s="224"/>
      <c r="AQ235" s="224"/>
      <c r="AR235" s="224"/>
      <c r="AS235" s="224"/>
      <c r="AT235" s="224"/>
      <c r="AU235" s="225">
        <v>2.2000000000000002</v>
      </c>
      <c r="AV235" s="225">
        <v>2.2000000000000002</v>
      </c>
      <c r="AW235" s="224"/>
      <c r="AX235" s="224"/>
      <c r="AY235" s="224"/>
      <c r="AZ235" s="224"/>
      <c r="BA235" s="225">
        <v>0.3</v>
      </c>
      <c r="BB235" s="225">
        <v>0.3</v>
      </c>
      <c r="BC235" s="224"/>
      <c r="BD235" s="224"/>
      <c r="BE235" s="224"/>
      <c r="BF235" s="224"/>
      <c r="BG235" s="224"/>
      <c r="BH235" s="224"/>
      <c r="BI235" s="224"/>
      <c r="BJ235" s="225">
        <v>4.25</v>
      </c>
      <c r="BK235" s="225">
        <v>0.12</v>
      </c>
      <c r="BL235" s="224"/>
      <c r="BM235" s="225">
        <v>0.18</v>
      </c>
      <c r="BN235" s="224"/>
      <c r="BO235" s="224"/>
      <c r="BP235" s="225">
        <v>0.3</v>
      </c>
      <c r="BQ235" s="225">
        <v>0.3</v>
      </c>
      <c r="BR235" s="224"/>
      <c r="BS235" s="224"/>
      <c r="BT235" s="224"/>
      <c r="BU235" s="224"/>
      <c r="BV235" s="224"/>
      <c r="BW235" s="224"/>
      <c r="BX235" s="224"/>
      <c r="BY235" s="224"/>
      <c r="BZ235" s="224"/>
      <c r="CA235" s="224"/>
      <c r="CB235" s="224"/>
      <c r="CC235" s="224"/>
      <c r="CD235" s="226">
        <v>4.55</v>
      </c>
    </row>
    <row r="236" spans="1:82" x14ac:dyDescent="0.3">
      <c r="A236" s="221" t="str">
        <f t="shared" si="5"/>
        <v>NON ADDOther Non-ADDGrant Opportunities for Academic Liaison with Industry (GOALI)Total</v>
      </c>
      <c r="B236" s="6" t="s">
        <v>223</v>
      </c>
      <c r="C236" s="6" t="s">
        <v>294</v>
      </c>
      <c r="D236" s="224" t="s">
        <v>307</v>
      </c>
      <c r="E236" s="6" t="s">
        <v>24</v>
      </c>
      <c r="F236" s="224"/>
      <c r="G236" s="224"/>
      <c r="H236" s="224"/>
      <c r="I236" s="224"/>
      <c r="J236" s="224"/>
      <c r="K236" s="224"/>
      <c r="L236" s="224"/>
      <c r="M236" s="224"/>
      <c r="N236" s="224"/>
      <c r="O236" s="224"/>
      <c r="P236" s="224"/>
      <c r="Q236" s="224"/>
      <c r="R236" s="224"/>
      <c r="S236" s="224"/>
      <c r="T236" s="224"/>
      <c r="U236" s="224"/>
      <c r="V236" s="224"/>
      <c r="W236" s="224"/>
      <c r="X236" s="224"/>
      <c r="Y236" s="224"/>
      <c r="Z236" s="225">
        <v>16.670000000000002</v>
      </c>
      <c r="AA236" s="225">
        <v>16.670000000000002</v>
      </c>
      <c r="AB236" s="224"/>
      <c r="AC236" s="224"/>
      <c r="AD236" s="224"/>
      <c r="AE236" s="224"/>
      <c r="AF236" s="224"/>
      <c r="AG236" s="224"/>
      <c r="AH236" s="224"/>
      <c r="AI236" s="224"/>
      <c r="AJ236" s="225">
        <v>1.65</v>
      </c>
      <c r="AK236" s="225">
        <v>2.96</v>
      </c>
      <c r="AL236" s="224"/>
      <c r="AM236" s="225">
        <v>0</v>
      </c>
      <c r="AN236" s="224"/>
      <c r="AO236" s="224"/>
      <c r="AP236" s="225">
        <v>4.6100000000000003</v>
      </c>
      <c r="AQ236" s="224"/>
      <c r="AR236" s="224"/>
      <c r="AS236" s="224"/>
      <c r="AT236" s="224"/>
      <c r="AU236" s="224"/>
      <c r="AV236" s="224"/>
      <c r="AW236" s="224"/>
      <c r="AX236" s="224"/>
      <c r="AY236" s="224"/>
      <c r="AZ236" s="224"/>
      <c r="BA236" s="224"/>
      <c r="BB236" s="224"/>
      <c r="BC236" s="224"/>
      <c r="BD236" s="224"/>
      <c r="BE236" s="224"/>
      <c r="BF236" s="224"/>
      <c r="BG236" s="224"/>
      <c r="BH236" s="224"/>
      <c r="BI236" s="224"/>
      <c r="BJ236" s="225">
        <v>21.28</v>
      </c>
      <c r="BK236" s="224"/>
      <c r="BL236" s="224"/>
      <c r="BM236" s="224"/>
      <c r="BN236" s="224"/>
      <c r="BO236" s="224"/>
      <c r="BP236" s="224"/>
      <c r="BQ236" s="224"/>
      <c r="BR236" s="224"/>
      <c r="BS236" s="224"/>
      <c r="BT236" s="224"/>
      <c r="BU236" s="224"/>
      <c r="BV236" s="224"/>
      <c r="BW236" s="224"/>
      <c r="BX236" s="224"/>
      <c r="BY236" s="224"/>
      <c r="BZ236" s="224"/>
      <c r="CA236" s="224"/>
      <c r="CB236" s="224"/>
      <c r="CC236" s="224"/>
      <c r="CD236" s="226">
        <v>21.28</v>
      </c>
    </row>
    <row r="237" spans="1:82" x14ac:dyDescent="0.3">
      <c r="A237" s="221" t="str">
        <f t="shared" si="5"/>
        <v>NON ADDOther Non-ADDInnovative Technology Experiences for Teachers &amp; Students (ITEST)(H-1B)Total</v>
      </c>
      <c r="B237" s="6" t="s">
        <v>223</v>
      </c>
      <c r="C237" s="6" t="s">
        <v>294</v>
      </c>
      <c r="D237" s="224" t="s">
        <v>514</v>
      </c>
      <c r="E237" s="6" t="s">
        <v>24</v>
      </c>
      <c r="F237" s="224"/>
      <c r="G237" s="224"/>
      <c r="H237" s="224"/>
      <c r="I237" s="224"/>
      <c r="J237" s="224"/>
      <c r="K237" s="224"/>
      <c r="L237" s="224"/>
      <c r="M237" s="224"/>
      <c r="N237" s="224"/>
      <c r="O237" s="224"/>
      <c r="P237" s="224"/>
      <c r="Q237" s="224"/>
      <c r="R237" s="224"/>
      <c r="S237" s="224"/>
      <c r="T237" s="224"/>
      <c r="U237" s="224"/>
      <c r="V237" s="224"/>
      <c r="W237" s="224"/>
      <c r="X237" s="224"/>
      <c r="Y237" s="224"/>
      <c r="Z237" s="224"/>
      <c r="AA237" s="224"/>
      <c r="AB237" s="224"/>
      <c r="AC237" s="224"/>
      <c r="AD237" s="224"/>
      <c r="AE237" s="224"/>
      <c r="AF237" s="224"/>
      <c r="AG237" s="224"/>
      <c r="AH237" s="224"/>
      <c r="AI237" s="224"/>
      <c r="AJ237" s="224"/>
      <c r="AK237" s="224"/>
      <c r="AL237" s="224"/>
      <c r="AM237" s="224"/>
      <c r="AN237" s="224"/>
      <c r="AO237" s="224"/>
      <c r="AP237" s="224"/>
      <c r="AQ237" s="224"/>
      <c r="AR237" s="224"/>
      <c r="AS237" s="224"/>
      <c r="AT237" s="224"/>
      <c r="AU237" s="224"/>
      <c r="AV237" s="224"/>
      <c r="AW237" s="224"/>
      <c r="AX237" s="224"/>
      <c r="AY237" s="224"/>
      <c r="AZ237" s="224"/>
      <c r="BA237" s="224"/>
      <c r="BB237" s="224"/>
      <c r="BC237" s="224"/>
      <c r="BD237" s="224"/>
      <c r="BE237" s="224"/>
      <c r="BF237" s="224"/>
      <c r="BG237" s="224"/>
      <c r="BH237" s="224"/>
      <c r="BI237" s="224"/>
      <c r="BJ237" s="224"/>
      <c r="BK237" s="224"/>
      <c r="BL237" s="225">
        <v>34.787446000000003</v>
      </c>
      <c r="BM237" s="224"/>
      <c r="BN237" s="224"/>
      <c r="BO237" s="224"/>
      <c r="BP237" s="225">
        <v>34.787446000000003</v>
      </c>
      <c r="BQ237" s="225">
        <v>34.787446000000003</v>
      </c>
      <c r="BR237" s="224"/>
      <c r="BS237" s="224"/>
      <c r="BT237" s="224"/>
      <c r="BU237" s="224"/>
      <c r="BV237" s="224"/>
      <c r="BW237" s="224"/>
      <c r="BX237" s="224"/>
      <c r="BY237" s="224"/>
      <c r="BZ237" s="224"/>
      <c r="CA237" s="224"/>
      <c r="CB237" s="224"/>
      <c r="CC237" s="224"/>
      <c r="CD237" s="226">
        <v>34.787446000000003</v>
      </c>
    </row>
    <row r="238" spans="1:82" x14ac:dyDescent="0.3">
      <c r="A238" s="221" t="str">
        <f t="shared" si="5"/>
        <v>NON ADDOther Non-ADDLeadership Class Computing FacilityTotal</v>
      </c>
      <c r="B238" s="6" t="s">
        <v>223</v>
      </c>
      <c r="C238" s="6" t="s">
        <v>294</v>
      </c>
      <c r="D238" s="224" t="s">
        <v>309</v>
      </c>
      <c r="E238" s="6" t="s">
        <v>24</v>
      </c>
      <c r="F238" s="224"/>
      <c r="G238" s="224"/>
      <c r="H238" s="224"/>
      <c r="I238" s="224"/>
      <c r="J238" s="224"/>
      <c r="K238" s="224"/>
      <c r="L238" s="224"/>
      <c r="M238" s="224"/>
      <c r="N238" s="224"/>
      <c r="O238" s="224"/>
      <c r="P238" s="224"/>
      <c r="Q238" s="225">
        <v>3.5</v>
      </c>
      <c r="R238" s="224"/>
      <c r="S238" s="225">
        <v>3.5</v>
      </c>
      <c r="T238" s="224"/>
      <c r="U238" s="224"/>
      <c r="V238" s="224"/>
      <c r="W238" s="224"/>
      <c r="X238" s="224"/>
      <c r="Y238" s="224"/>
      <c r="Z238" s="224"/>
      <c r="AA238" s="224"/>
      <c r="AB238" s="224"/>
      <c r="AC238" s="224"/>
      <c r="AD238" s="224"/>
      <c r="AE238" s="224"/>
      <c r="AF238" s="224"/>
      <c r="AG238" s="224"/>
      <c r="AH238" s="224"/>
      <c r="AI238" s="224"/>
      <c r="AJ238" s="224"/>
      <c r="AK238" s="224"/>
      <c r="AL238" s="224"/>
      <c r="AM238" s="224"/>
      <c r="AN238" s="224"/>
      <c r="AO238" s="224"/>
      <c r="AP238" s="224"/>
      <c r="AQ238" s="224"/>
      <c r="AR238" s="224"/>
      <c r="AS238" s="224"/>
      <c r="AT238" s="224"/>
      <c r="AU238" s="224"/>
      <c r="AV238" s="224"/>
      <c r="AW238" s="224"/>
      <c r="AX238" s="224"/>
      <c r="AY238" s="224"/>
      <c r="AZ238" s="224"/>
      <c r="BA238" s="224"/>
      <c r="BB238" s="224"/>
      <c r="BC238" s="224"/>
      <c r="BD238" s="224"/>
      <c r="BE238" s="224"/>
      <c r="BF238" s="224"/>
      <c r="BG238" s="224"/>
      <c r="BH238" s="224"/>
      <c r="BI238" s="224"/>
      <c r="BJ238" s="225">
        <v>3.5</v>
      </c>
      <c r="BK238" s="224"/>
      <c r="BL238" s="224"/>
      <c r="BM238" s="224"/>
      <c r="BN238" s="224"/>
      <c r="BO238" s="224"/>
      <c r="BP238" s="224"/>
      <c r="BQ238" s="224"/>
      <c r="BR238" s="224"/>
      <c r="BS238" s="224"/>
      <c r="BT238" s="224"/>
      <c r="BU238" s="224"/>
      <c r="BV238" s="224"/>
      <c r="BW238" s="224"/>
      <c r="BX238" s="224"/>
      <c r="BY238" s="224"/>
      <c r="BZ238" s="224"/>
      <c r="CA238" s="224"/>
      <c r="CB238" s="224"/>
      <c r="CC238" s="224"/>
      <c r="CD238" s="226">
        <v>3.5</v>
      </c>
    </row>
    <row r="239" spans="1:82" x14ac:dyDescent="0.3">
      <c r="A239" s="221" t="str">
        <f t="shared" si="5"/>
        <v>NON ADDOther Non-ADDLHC UpgradeTotal</v>
      </c>
      <c r="B239" s="6" t="s">
        <v>223</v>
      </c>
      <c r="C239" s="6" t="s">
        <v>294</v>
      </c>
      <c r="D239" s="224" t="s">
        <v>310</v>
      </c>
      <c r="E239" s="6" t="s">
        <v>24</v>
      </c>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4"/>
      <c r="AE239" s="224"/>
      <c r="AF239" s="224"/>
      <c r="AG239" s="224"/>
      <c r="AH239" s="224"/>
      <c r="AI239" s="224"/>
      <c r="AJ239" s="224"/>
      <c r="AK239" s="224"/>
      <c r="AL239" s="224"/>
      <c r="AM239" s="224"/>
      <c r="AN239" s="225">
        <v>0</v>
      </c>
      <c r="AO239" s="224"/>
      <c r="AP239" s="225">
        <v>0</v>
      </c>
      <c r="AQ239" s="224"/>
      <c r="AR239" s="224"/>
      <c r="AS239" s="224"/>
      <c r="AT239" s="224"/>
      <c r="AU239" s="224"/>
      <c r="AV239" s="224"/>
      <c r="AW239" s="224"/>
      <c r="AX239" s="224"/>
      <c r="AY239" s="224"/>
      <c r="AZ239" s="224"/>
      <c r="BA239" s="224"/>
      <c r="BB239" s="224"/>
      <c r="BC239" s="224"/>
      <c r="BD239" s="224"/>
      <c r="BE239" s="224"/>
      <c r="BF239" s="224"/>
      <c r="BG239" s="224"/>
      <c r="BH239" s="224"/>
      <c r="BI239" s="224"/>
      <c r="BJ239" s="225">
        <v>0</v>
      </c>
      <c r="BK239" s="224"/>
      <c r="BL239" s="224"/>
      <c r="BM239" s="224"/>
      <c r="BN239" s="224"/>
      <c r="BO239" s="224"/>
      <c r="BP239" s="224"/>
      <c r="BQ239" s="224"/>
      <c r="BR239" s="225">
        <v>10.582829</v>
      </c>
      <c r="BS239" s="225">
        <v>10.582829</v>
      </c>
      <c r="BT239" s="225">
        <v>10.582829</v>
      </c>
      <c r="BU239" s="224"/>
      <c r="BV239" s="224"/>
      <c r="BW239" s="224"/>
      <c r="BX239" s="224"/>
      <c r="BY239" s="224"/>
      <c r="BZ239" s="224"/>
      <c r="CA239" s="224"/>
      <c r="CB239" s="224"/>
      <c r="CC239" s="224"/>
      <c r="CD239" s="226">
        <v>10.582829</v>
      </c>
    </row>
    <row r="240" spans="1:82" x14ac:dyDescent="0.3">
      <c r="A240" s="221" t="str">
        <f t="shared" si="5"/>
        <v>NON ADDOther Non-ADDLIGO EnhancementTotal</v>
      </c>
      <c r="B240" s="6" t="s">
        <v>223</v>
      </c>
      <c r="C240" s="6" t="s">
        <v>294</v>
      </c>
      <c r="D240" s="224" t="s">
        <v>311</v>
      </c>
      <c r="E240" s="6" t="s">
        <v>24</v>
      </c>
      <c r="F240" s="224"/>
      <c r="G240" s="224"/>
      <c r="H240" s="224"/>
      <c r="I240" s="224"/>
      <c r="J240" s="224"/>
      <c r="K240" s="224"/>
      <c r="L240" s="224"/>
      <c r="M240" s="224"/>
      <c r="N240" s="224"/>
      <c r="O240" s="224"/>
      <c r="P240" s="224"/>
      <c r="Q240" s="224"/>
      <c r="R240" s="224"/>
      <c r="S240" s="224"/>
      <c r="T240" s="224"/>
      <c r="U240" s="224"/>
      <c r="V240" s="224"/>
      <c r="W240" s="224"/>
      <c r="X240" s="224"/>
      <c r="Y240" s="224"/>
      <c r="Z240" s="224"/>
      <c r="AA240" s="224"/>
      <c r="AB240" s="224"/>
      <c r="AC240" s="224"/>
      <c r="AD240" s="224"/>
      <c r="AE240" s="224"/>
      <c r="AF240" s="224"/>
      <c r="AG240" s="224"/>
      <c r="AH240" s="224"/>
      <c r="AI240" s="224"/>
      <c r="AJ240" s="224"/>
      <c r="AK240" s="224"/>
      <c r="AL240" s="224"/>
      <c r="AM240" s="224"/>
      <c r="AN240" s="225">
        <v>0</v>
      </c>
      <c r="AO240" s="224"/>
      <c r="AP240" s="225">
        <v>0</v>
      </c>
      <c r="AQ240" s="224"/>
      <c r="AR240" s="224"/>
      <c r="AS240" s="224"/>
      <c r="AT240" s="224"/>
      <c r="AU240" s="224"/>
      <c r="AV240" s="224"/>
      <c r="AW240" s="224"/>
      <c r="AX240" s="224"/>
      <c r="AY240" s="224"/>
      <c r="AZ240" s="224"/>
      <c r="BA240" s="224"/>
      <c r="BB240" s="224"/>
      <c r="BC240" s="224"/>
      <c r="BD240" s="224"/>
      <c r="BE240" s="224"/>
      <c r="BF240" s="224"/>
      <c r="BG240" s="224"/>
      <c r="BH240" s="224"/>
      <c r="BI240" s="224"/>
      <c r="BJ240" s="225">
        <v>0</v>
      </c>
      <c r="BK240" s="224"/>
      <c r="BL240" s="224"/>
      <c r="BM240" s="224"/>
      <c r="BN240" s="224"/>
      <c r="BO240" s="224"/>
      <c r="BP240" s="224"/>
      <c r="BQ240" s="224"/>
      <c r="BR240" s="224"/>
      <c r="BS240" s="224"/>
      <c r="BT240" s="224"/>
      <c r="BU240" s="224"/>
      <c r="BV240" s="224"/>
      <c r="BW240" s="224"/>
      <c r="BX240" s="224"/>
      <c r="BY240" s="224"/>
      <c r="BZ240" s="224"/>
      <c r="CA240" s="224"/>
      <c r="CB240" s="224"/>
      <c r="CC240" s="224"/>
      <c r="CD240" s="226">
        <v>0</v>
      </c>
    </row>
    <row r="241" spans="1:82" x14ac:dyDescent="0.3">
      <c r="A241" s="221" t="str">
        <f t="shared" si="5"/>
        <v>NON ADDOther Non-ADDNational Earthquake Hazards Reduction Program (NEHRP)Total</v>
      </c>
      <c r="B241" s="6" t="s">
        <v>223</v>
      </c>
      <c r="C241" s="6" t="s">
        <v>294</v>
      </c>
      <c r="D241" s="224" t="s">
        <v>312</v>
      </c>
      <c r="E241" s="6" t="s">
        <v>24</v>
      </c>
      <c r="F241" s="224"/>
      <c r="G241" s="224"/>
      <c r="H241" s="224"/>
      <c r="I241" s="224"/>
      <c r="J241" s="224"/>
      <c r="K241" s="224"/>
      <c r="L241" s="224"/>
      <c r="M241" s="224"/>
      <c r="N241" s="224"/>
      <c r="O241" s="224"/>
      <c r="P241" s="224"/>
      <c r="Q241" s="224"/>
      <c r="R241" s="224"/>
      <c r="S241" s="224"/>
      <c r="T241" s="224"/>
      <c r="U241" s="224"/>
      <c r="V241" s="224"/>
      <c r="W241" s="224"/>
      <c r="X241" s="224"/>
      <c r="Y241" s="224"/>
      <c r="Z241" s="225">
        <v>40</v>
      </c>
      <c r="AA241" s="225">
        <v>40</v>
      </c>
      <c r="AB241" s="224"/>
      <c r="AC241" s="225">
        <v>12</v>
      </c>
      <c r="AD241" s="224"/>
      <c r="AE241" s="224"/>
      <c r="AF241" s="224"/>
      <c r="AG241" s="224"/>
      <c r="AH241" s="225">
        <v>12</v>
      </c>
      <c r="AI241" s="224"/>
      <c r="AJ241" s="224"/>
      <c r="AK241" s="224"/>
      <c r="AL241" s="224"/>
      <c r="AM241" s="224"/>
      <c r="AN241" s="224"/>
      <c r="AO241" s="224"/>
      <c r="AP241" s="224"/>
      <c r="AQ241" s="224"/>
      <c r="AR241" s="224"/>
      <c r="AS241" s="224"/>
      <c r="AT241" s="224"/>
      <c r="AU241" s="224"/>
      <c r="AV241" s="224"/>
      <c r="AW241" s="224"/>
      <c r="AX241" s="224"/>
      <c r="AY241" s="224"/>
      <c r="AZ241" s="224"/>
      <c r="BA241" s="224"/>
      <c r="BB241" s="224"/>
      <c r="BC241" s="224"/>
      <c r="BD241" s="224"/>
      <c r="BE241" s="224"/>
      <c r="BF241" s="224"/>
      <c r="BG241" s="224"/>
      <c r="BH241" s="224"/>
      <c r="BI241" s="224"/>
      <c r="BJ241" s="225">
        <v>52</v>
      </c>
      <c r="BK241" s="224"/>
      <c r="BL241" s="224"/>
      <c r="BM241" s="224"/>
      <c r="BN241" s="224"/>
      <c r="BO241" s="224"/>
      <c r="BP241" s="224"/>
      <c r="BQ241" s="224"/>
      <c r="BR241" s="224"/>
      <c r="BS241" s="224"/>
      <c r="BT241" s="224"/>
      <c r="BU241" s="224"/>
      <c r="BV241" s="224"/>
      <c r="BW241" s="224"/>
      <c r="BX241" s="224"/>
      <c r="BY241" s="224"/>
      <c r="BZ241" s="224"/>
      <c r="CA241" s="224"/>
      <c r="CB241" s="224"/>
      <c r="CC241" s="224"/>
      <c r="CD241" s="226">
        <v>52</v>
      </c>
    </row>
    <row r="242" spans="1:82" x14ac:dyDescent="0.3">
      <c r="A242" s="221" t="str">
        <f t="shared" si="5"/>
        <v>NON ADDOther Non-ADDNSF Scholarships in STEM (S-STEM) (H-1B)Total</v>
      </c>
      <c r="B242" s="6" t="s">
        <v>223</v>
      </c>
      <c r="C242" s="6" t="s">
        <v>294</v>
      </c>
      <c r="D242" s="224" t="s">
        <v>313</v>
      </c>
      <c r="E242" s="6" t="s">
        <v>24</v>
      </c>
      <c r="F242" s="224"/>
      <c r="G242" s="224"/>
      <c r="H242" s="224"/>
      <c r="I242" s="224"/>
      <c r="J242" s="224"/>
      <c r="K242" s="224"/>
      <c r="L242" s="224"/>
      <c r="M242" s="224"/>
      <c r="N242" s="224"/>
      <c r="O242" s="224"/>
      <c r="P242" s="224"/>
      <c r="Q242" s="224"/>
      <c r="R242" s="224"/>
      <c r="S242" s="224"/>
      <c r="T242" s="224"/>
      <c r="U242" s="224"/>
      <c r="V242" s="224"/>
      <c r="W242" s="224"/>
      <c r="X242" s="224"/>
      <c r="Y242" s="224"/>
      <c r="Z242" s="224"/>
      <c r="AA242" s="224"/>
      <c r="AB242" s="224"/>
      <c r="AC242" s="224"/>
      <c r="AD242" s="224"/>
      <c r="AE242" s="224"/>
      <c r="AF242" s="224"/>
      <c r="AG242" s="224"/>
      <c r="AH242" s="224"/>
      <c r="AI242" s="224"/>
      <c r="AJ242" s="224"/>
      <c r="AK242" s="224"/>
      <c r="AL242" s="224"/>
      <c r="AM242" s="224"/>
      <c r="AN242" s="224"/>
      <c r="AO242" s="224"/>
      <c r="AP242" s="224"/>
      <c r="AQ242" s="224"/>
      <c r="AR242" s="224"/>
      <c r="AS242" s="224"/>
      <c r="AT242" s="224"/>
      <c r="AU242" s="224"/>
      <c r="AV242" s="224"/>
      <c r="AW242" s="224"/>
      <c r="AX242" s="224"/>
      <c r="AY242" s="224"/>
      <c r="AZ242" s="224"/>
      <c r="BA242" s="224"/>
      <c r="BB242" s="224"/>
      <c r="BC242" s="224"/>
      <c r="BD242" s="224"/>
      <c r="BE242" s="224"/>
      <c r="BF242" s="224"/>
      <c r="BG242" s="224"/>
      <c r="BH242" s="224"/>
      <c r="BI242" s="224"/>
      <c r="BJ242" s="224"/>
      <c r="BK242" s="224"/>
      <c r="BL242" s="224"/>
      <c r="BM242" s="225">
        <v>243.69532799999999</v>
      </c>
      <c r="BN242" s="224"/>
      <c r="BO242" s="224"/>
      <c r="BP242" s="225">
        <v>243.69532799999999</v>
      </c>
      <c r="BQ242" s="225">
        <v>243.69532799999999</v>
      </c>
      <c r="BR242" s="224"/>
      <c r="BS242" s="224"/>
      <c r="BT242" s="224"/>
      <c r="BU242" s="224"/>
      <c r="BV242" s="224"/>
      <c r="BW242" s="224"/>
      <c r="BX242" s="224"/>
      <c r="BY242" s="224"/>
      <c r="BZ242" s="224"/>
      <c r="CA242" s="224"/>
      <c r="CB242" s="224"/>
      <c r="CC242" s="224"/>
      <c r="CD242" s="226">
        <v>243.69532799999999</v>
      </c>
    </row>
    <row r="243" spans="1:82" x14ac:dyDescent="0.3">
      <c r="A243" s="221" t="str">
        <f t="shared" si="5"/>
        <v>NON ADDOther Non-ADDPartnerships for Research &amp; Education in Materials (PREM)Total</v>
      </c>
      <c r="B243" s="6" t="s">
        <v>223</v>
      </c>
      <c r="C243" s="6" t="s">
        <v>294</v>
      </c>
      <c r="D243" s="224" t="s">
        <v>314</v>
      </c>
      <c r="E243" s="6" t="s">
        <v>24</v>
      </c>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4"/>
      <c r="AI243" s="224"/>
      <c r="AJ243" s="224"/>
      <c r="AK243" s="225">
        <v>9.23</v>
      </c>
      <c r="AL243" s="224"/>
      <c r="AM243" s="224"/>
      <c r="AN243" s="224"/>
      <c r="AO243" s="224"/>
      <c r="AP243" s="225">
        <v>9.23</v>
      </c>
      <c r="AQ243" s="224"/>
      <c r="AR243" s="224"/>
      <c r="AS243" s="224"/>
      <c r="AT243" s="224"/>
      <c r="AU243" s="224"/>
      <c r="AV243" s="224"/>
      <c r="AW243" s="224"/>
      <c r="AX243" s="224"/>
      <c r="AY243" s="224"/>
      <c r="AZ243" s="224"/>
      <c r="BA243" s="224"/>
      <c r="BB243" s="224"/>
      <c r="BC243" s="224"/>
      <c r="BD243" s="224"/>
      <c r="BE243" s="224"/>
      <c r="BF243" s="224"/>
      <c r="BG243" s="224"/>
      <c r="BH243" s="224"/>
      <c r="BI243" s="224"/>
      <c r="BJ243" s="225">
        <v>9.23</v>
      </c>
      <c r="BK243" s="224"/>
      <c r="BL243" s="224"/>
      <c r="BM243" s="224"/>
      <c r="BN243" s="224"/>
      <c r="BO243" s="224"/>
      <c r="BP243" s="224"/>
      <c r="BQ243" s="224"/>
      <c r="BR243" s="224"/>
      <c r="BS243" s="224"/>
      <c r="BT243" s="224"/>
      <c r="BU243" s="224"/>
      <c r="BV243" s="224"/>
      <c r="BW243" s="224"/>
      <c r="BX243" s="224"/>
      <c r="BY243" s="224"/>
      <c r="BZ243" s="224"/>
      <c r="CA243" s="224"/>
      <c r="CB243" s="224"/>
      <c r="CC243" s="224"/>
      <c r="CD243" s="226">
        <v>9.23</v>
      </c>
    </row>
    <row r="244" spans="1:82" x14ac:dyDescent="0.3">
      <c r="A244" s="221" t="str">
        <f t="shared" si="5"/>
        <v>NON ADDOther Non-ADDPlant Genome ResearchTotal</v>
      </c>
      <c r="B244" s="6" t="s">
        <v>223</v>
      </c>
      <c r="C244" s="6" t="s">
        <v>294</v>
      </c>
      <c r="D244" s="224" t="s">
        <v>315</v>
      </c>
      <c r="E244" s="6" t="s">
        <v>24</v>
      </c>
      <c r="F244" s="224"/>
      <c r="G244" s="224"/>
      <c r="H244" s="224"/>
      <c r="I244" s="224"/>
      <c r="J244" s="224"/>
      <c r="K244" s="225">
        <v>47.15</v>
      </c>
      <c r="L244" s="225">
        <v>47.15</v>
      </c>
      <c r="M244" s="224"/>
      <c r="N244" s="224"/>
      <c r="O244" s="224"/>
      <c r="P244" s="224"/>
      <c r="Q244" s="224"/>
      <c r="R244" s="224"/>
      <c r="S244" s="224"/>
      <c r="T244" s="224"/>
      <c r="U244" s="224"/>
      <c r="V244" s="224"/>
      <c r="W244" s="224"/>
      <c r="X244" s="224"/>
      <c r="Y244" s="224"/>
      <c r="Z244" s="224"/>
      <c r="AA244" s="224"/>
      <c r="AB244" s="224"/>
      <c r="AC244" s="224"/>
      <c r="AD244" s="224"/>
      <c r="AE244" s="224"/>
      <c r="AF244" s="224"/>
      <c r="AG244" s="224"/>
      <c r="AH244" s="224"/>
      <c r="AI244" s="224"/>
      <c r="AJ244" s="224"/>
      <c r="AK244" s="224"/>
      <c r="AL244" s="224"/>
      <c r="AM244" s="224"/>
      <c r="AN244" s="224"/>
      <c r="AO244" s="224"/>
      <c r="AP244" s="224"/>
      <c r="AQ244" s="224"/>
      <c r="AR244" s="224"/>
      <c r="AS244" s="224"/>
      <c r="AT244" s="224"/>
      <c r="AU244" s="224"/>
      <c r="AV244" s="224"/>
      <c r="AW244" s="224"/>
      <c r="AX244" s="224"/>
      <c r="AY244" s="224"/>
      <c r="AZ244" s="224"/>
      <c r="BA244" s="224"/>
      <c r="BB244" s="224"/>
      <c r="BC244" s="224"/>
      <c r="BD244" s="224"/>
      <c r="BE244" s="224"/>
      <c r="BF244" s="224"/>
      <c r="BG244" s="224"/>
      <c r="BH244" s="224"/>
      <c r="BI244" s="224"/>
      <c r="BJ244" s="225">
        <v>47.15</v>
      </c>
      <c r="BK244" s="224"/>
      <c r="BL244" s="224"/>
      <c r="BM244" s="224"/>
      <c r="BN244" s="224"/>
      <c r="BO244" s="224"/>
      <c r="BP244" s="224"/>
      <c r="BQ244" s="224"/>
      <c r="BR244" s="224"/>
      <c r="BS244" s="224"/>
      <c r="BT244" s="224"/>
      <c r="BU244" s="224"/>
      <c r="BV244" s="224"/>
      <c r="BW244" s="224"/>
      <c r="BX244" s="224"/>
      <c r="BY244" s="224"/>
      <c r="BZ244" s="224"/>
      <c r="CA244" s="224"/>
      <c r="CB244" s="224"/>
      <c r="CC244" s="224"/>
      <c r="CD244" s="226">
        <v>47.15</v>
      </c>
    </row>
    <row r="245" spans="1:82" x14ac:dyDescent="0.3">
      <c r="A245" s="221" t="str">
        <f t="shared" si="5"/>
        <v>NON ADDOther Non-ADDQIS Research CentersTotal</v>
      </c>
      <c r="B245" s="6" t="s">
        <v>223</v>
      </c>
      <c r="C245" s="6" t="s">
        <v>294</v>
      </c>
      <c r="D245" s="224" t="s">
        <v>316</v>
      </c>
      <c r="E245" s="6" t="s">
        <v>24</v>
      </c>
      <c r="F245" s="224"/>
      <c r="G245" s="224"/>
      <c r="H245" s="224"/>
      <c r="I245" s="224"/>
      <c r="J245" s="224"/>
      <c r="K245" s="224"/>
      <c r="L245" s="224"/>
      <c r="M245" s="224"/>
      <c r="N245" s="224"/>
      <c r="O245" s="224"/>
      <c r="P245" s="224"/>
      <c r="Q245" s="224"/>
      <c r="R245" s="224"/>
      <c r="S245" s="224"/>
      <c r="T245" s="224"/>
      <c r="U245" s="224"/>
      <c r="V245" s="224"/>
      <c r="W245" s="224"/>
      <c r="X245" s="224"/>
      <c r="Y245" s="224"/>
      <c r="Z245" s="225">
        <v>6</v>
      </c>
      <c r="AA245" s="225">
        <v>6</v>
      </c>
      <c r="AB245" s="224"/>
      <c r="AC245" s="224"/>
      <c r="AD245" s="224"/>
      <c r="AE245" s="224"/>
      <c r="AF245" s="224"/>
      <c r="AG245" s="224"/>
      <c r="AH245" s="224"/>
      <c r="AI245" s="224"/>
      <c r="AJ245" s="224"/>
      <c r="AK245" s="224"/>
      <c r="AL245" s="224"/>
      <c r="AM245" s="225">
        <v>64.400000000000006</v>
      </c>
      <c r="AN245" s="224"/>
      <c r="AO245" s="224"/>
      <c r="AP245" s="225">
        <v>64.400000000000006</v>
      </c>
      <c r="AQ245" s="224"/>
      <c r="AR245" s="224"/>
      <c r="AS245" s="224"/>
      <c r="AT245" s="224"/>
      <c r="AU245" s="224"/>
      <c r="AV245" s="224"/>
      <c r="AW245" s="224"/>
      <c r="AX245" s="224"/>
      <c r="AY245" s="224"/>
      <c r="AZ245" s="224"/>
      <c r="BA245" s="224"/>
      <c r="BB245" s="224"/>
      <c r="BC245" s="225">
        <v>7.97</v>
      </c>
      <c r="BD245" s="224"/>
      <c r="BE245" s="225">
        <v>7.97</v>
      </c>
      <c r="BF245" s="224"/>
      <c r="BG245" s="224"/>
      <c r="BH245" s="224"/>
      <c r="BI245" s="224"/>
      <c r="BJ245" s="225">
        <v>78.37</v>
      </c>
      <c r="BK245" s="224"/>
      <c r="BL245" s="224"/>
      <c r="BM245" s="224"/>
      <c r="BN245" s="224"/>
      <c r="BO245" s="224"/>
      <c r="BP245" s="224"/>
      <c r="BQ245" s="224"/>
      <c r="BR245" s="224"/>
      <c r="BS245" s="224"/>
      <c r="BT245" s="224"/>
      <c r="BU245" s="224"/>
      <c r="BV245" s="224"/>
      <c r="BW245" s="224"/>
      <c r="BX245" s="224"/>
      <c r="BY245" s="224"/>
      <c r="BZ245" s="224"/>
      <c r="CA245" s="224"/>
      <c r="CB245" s="224"/>
      <c r="CC245" s="224"/>
      <c r="CD245" s="226">
        <v>78.37</v>
      </c>
    </row>
    <row r="246" spans="1:82" x14ac:dyDescent="0.3">
      <c r="A246" s="221" t="str">
        <f t="shared" si="5"/>
        <v>NON ADDOther Non-ADDRacial Equity Related ActivitiesTotal</v>
      </c>
      <c r="B246" s="6" t="s">
        <v>223</v>
      </c>
      <c r="C246" s="6" t="s">
        <v>294</v>
      </c>
      <c r="D246" s="224" t="s">
        <v>317</v>
      </c>
      <c r="E246" s="6" t="s">
        <v>24</v>
      </c>
      <c r="F246" s="224"/>
      <c r="G246" s="224"/>
      <c r="H246" s="224"/>
      <c r="I246" s="224"/>
      <c r="J246" s="224"/>
      <c r="K246" s="225">
        <v>28.62</v>
      </c>
      <c r="L246" s="225">
        <v>28.62</v>
      </c>
      <c r="M246" s="224"/>
      <c r="N246" s="224"/>
      <c r="O246" s="224"/>
      <c r="P246" s="224"/>
      <c r="Q246" s="224"/>
      <c r="R246" s="224"/>
      <c r="S246" s="224"/>
      <c r="T246" s="224"/>
      <c r="U246" s="224"/>
      <c r="V246" s="224"/>
      <c r="W246" s="224"/>
      <c r="X246" s="224"/>
      <c r="Y246" s="224"/>
      <c r="Z246" s="225">
        <v>41</v>
      </c>
      <c r="AA246" s="225">
        <v>41</v>
      </c>
      <c r="AB246" s="224"/>
      <c r="AC246" s="224"/>
      <c r="AD246" s="224"/>
      <c r="AE246" s="225">
        <v>5.14</v>
      </c>
      <c r="AF246" s="224"/>
      <c r="AG246" s="225">
        <v>12</v>
      </c>
      <c r="AH246" s="225">
        <v>17.14</v>
      </c>
      <c r="AI246" s="224"/>
      <c r="AJ246" s="224"/>
      <c r="AK246" s="224"/>
      <c r="AL246" s="224"/>
      <c r="AM246" s="224"/>
      <c r="AN246" s="224"/>
      <c r="AO246" s="224"/>
      <c r="AP246" s="224"/>
      <c r="AQ246" s="224"/>
      <c r="AR246" s="224"/>
      <c r="AS246" s="224"/>
      <c r="AT246" s="224"/>
      <c r="AU246" s="224"/>
      <c r="AV246" s="224"/>
      <c r="AW246" s="224"/>
      <c r="AX246" s="224"/>
      <c r="AY246" s="224"/>
      <c r="AZ246" s="224"/>
      <c r="BA246" s="224"/>
      <c r="BB246" s="224"/>
      <c r="BC246" s="224"/>
      <c r="BD246" s="225">
        <v>18.52</v>
      </c>
      <c r="BE246" s="225">
        <v>18.52</v>
      </c>
      <c r="BF246" s="224"/>
      <c r="BG246" s="224"/>
      <c r="BH246" s="224"/>
      <c r="BI246" s="224"/>
      <c r="BJ246" s="225">
        <v>105.28</v>
      </c>
      <c r="BK246" s="224"/>
      <c r="BL246" s="224"/>
      <c r="BM246" s="224"/>
      <c r="BN246" s="224"/>
      <c r="BO246" s="224"/>
      <c r="BP246" s="224"/>
      <c r="BQ246" s="224"/>
      <c r="BR246" s="224"/>
      <c r="BS246" s="224"/>
      <c r="BT246" s="224"/>
      <c r="BU246" s="224"/>
      <c r="BV246" s="224"/>
      <c r="BW246" s="224"/>
      <c r="BX246" s="224"/>
      <c r="BY246" s="224"/>
      <c r="BZ246" s="224"/>
      <c r="CA246" s="224"/>
      <c r="CB246" s="224"/>
      <c r="CC246" s="224"/>
      <c r="CD246" s="226">
        <v>105.28</v>
      </c>
    </row>
    <row r="247" spans="1:82" x14ac:dyDescent="0.3">
      <c r="A247" s="221" t="str">
        <f t="shared" si="5"/>
        <v>NON ADDOther Non-ADDResearch at Undergraduate Institutions (RUI)Total</v>
      </c>
      <c r="B247" s="6" t="s">
        <v>223</v>
      </c>
      <c r="C247" s="6" t="s">
        <v>294</v>
      </c>
      <c r="D247" s="224" t="s">
        <v>318</v>
      </c>
      <c r="E247" s="6" t="s">
        <v>24</v>
      </c>
      <c r="F247" s="224"/>
      <c r="G247" s="224"/>
      <c r="H247" s="224"/>
      <c r="I247" s="224"/>
      <c r="J247" s="224"/>
      <c r="K247" s="225">
        <v>15.26</v>
      </c>
      <c r="L247" s="225">
        <v>15.26</v>
      </c>
      <c r="M247" s="224"/>
      <c r="N247" s="224"/>
      <c r="O247" s="224"/>
      <c r="P247" s="224"/>
      <c r="Q247" s="224"/>
      <c r="R247" s="225">
        <v>2.9430000000000001</v>
      </c>
      <c r="S247" s="225">
        <v>2.9430000000000001</v>
      </c>
      <c r="T247" s="224"/>
      <c r="U247" s="224"/>
      <c r="V247" s="224"/>
      <c r="W247" s="224"/>
      <c r="X247" s="224"/>
      <c r="Y247" s="224"/>
      <c r="Z247" s="224"/>
      <c r="AA247" s="224"/>
      <c r="AB247" s="224"/>
      <c r="AC247" s="224"/>
      <c r="AD247" s="224"/>
      <c r="AE247" s="224"/>
      <c r="AF247" s="224"/>
      <c r="AG247" s="224"/>
      <c r="AH247" s="224"/>
      <c r="AI247" s="225">
        <v>1.3</v>
      </c>
      <c r="AJ247" s="225">
        <v>4.58</v>
      </c>
      <c r="AK247" s="225">
        <v>2.62</v>
      </c>
      <c r="AL247" s="225">
        <v>2.69</v>
      </c>
      <c r="AM247" s="224"/>
      <c r="AN247" s="225">
        <v>8.0500000000000007</v>
      </c>
      <c r="AO247" s="224"/>
      <c r="AP247" s="225">
        <v>19.239999999999998</v>
      </c>
      <c r="AQ247" s="225">
        <v>0</v>
      </c>
      <c r="AR247" s="224"/>
      <c r="AS247" s="224"/>
      <c r="AT247" s="225">
        <v>0</v>
      </c>
      <c r="AU247" s="225">
        <v>0.5</v>
      </c>
      <c r="AV247" s="225">
        <v>0.5</v>
      </c>
      <c r="AW247" s="224"/>
      <c r="AX247" s="224"/>
      <c r="AY247" s="224"/>
      <c r="AZ247" s="224"/>
      <c r="BA247" s="224"/>
      <c r="BB247" s="224"/>
      <c r="BC247" s="224"/>
      <c r="BD247" s="224"/>
      <c r="BE247" s="224"/>
      <c r="BF247" s="224"/>
      <c r="BG247" s="224"/>
      <c r="BH247" s="224"/>
      <c r="BI247" s="224"/>
      <c r="BJ247" s="225">
        <v>37.942999999999998</v>
      </c>
      <c r="BK247" s="224"/>
      <c r="BL247" s="224"/>
      <c r="BM247" s="224"/>
      <c r="BN247" s="224"/>
      <c r="BO247" s="224"/>
      <c r="BP247" s="224"/>
      <c r="BQ247" s="224"/>
      <c r="BR247" s="224"/>
      <c r="BS247" s="224"/>
      <c r="BT247" s="224"/>
      <c r="BU247" s="224"/>
      <c r="BV247" s="224"/>
      <c r="BW247" s="224"/>
      <c r="BX247" s="224"/>
      <c r="BY247" s="224"/>
      <c r="BZ247" s="224"/>
      <c r="CA247" s="224"/>
      <c r="CB247" s="224"/>
      <c r="CC247" s="224"/>
      <c r="CD247" s="226">
        <v>37.942999999999998</v>
      </c>
    </row>
    <row r="248" spans="1:82" x14ac:dyDescent="0.3">
      <c r="A248" s="221" t="str">
        <f t="shared" si="5"/>
        <v>NON ADDOther Non-ADDResearch in Disabilities Education (RDE)Total</v>
      </c>
      <c r="B248" s="6" t="s">
        <v>223</v>
      </c>
      <c r="C248" s="6" t="s">
        <v>294</v>
      </c>
      <c r="D248" s="224" t="s">
        <v>319</v>
      </c>
      <c r="E248" s="6" t="s">
        <v>24</v>
      </c>
      <c r="F248" s="224"/>
      <c r="G248" s="224"/>
      <c r="H248" s="224"/>
      <c r="I248" s="224"/>
      <c r="J248" s="224"/>
      <c r="K248" s="224"/>
      <c r="L248" s="224"/>
      <c r="M248" s="224"/>
      <c r="N248" s="224"/>
      <c r="O248" s="224"/>
      <c r="P248" s="224"/>
      <c r="Q248" s="224"/>
      <c r="R248" s="224"/>
      <c r="S248" s="224"/>
      <c r="T248" s="224"/>
      <c r="U248" s="224"/>
      <c r="V248" s="224"/>
      <c r="W248" s="224"/>
      <c r="X248" s="224"/>
      <c r="Y248" s="224"/>
      <c r="Z248" s="224"/>
      <c r="AA248" s="224"/>
      <c r="AB248" s="224"/>
      <c r="AC248" s="224"/>
      <c r="AD248" s="224"/>
      <c r="AE248" s="224"/>
      <c r="AF248" s="224"/>
      <c r="AG248" s="224"/>
      <c r="AH248" s="224"/>
      <c r="AI248" s="224"/>
      <c r="AJ248" s="224"/>
      <c r="AK248" s="224"/>
      <c r="AL248" s="224"/>
      <c r="AM248" s="224"/>
      <c r="AN248" s="224"/>
      <c r="AO248" s="224"/>
      <c r="AP248" s="224"/>
      <c r="AQ248" s="224"/>
      <c r="AR248" s="224"/>
      <c r="AS248" s="224"/>
      <c r="AT248" s="224"/>
      <c r="AU248" s="224"/>
      <c r="AV248" s="224"/>
      <c r="AW248" s="224"/>
      <c r="AX248" s="224"/>
      <c r="AY248" s="224"/>
      <c r="AZ248" s="224"/>
      <c r="BA248" s="224"/>
      <c r="BB248" s="224"/>
      <c r="BC248" s="224"/>
      <c r="BD248" s="224"/>
      <c r="BE248" s="224"/>
      <c r="BF248" s="224"/>
      <c r="BG248" s="224"/>
      <c r="BH248" s="224"/>
      <c r="BI248" s="224"/>
      <c r="BJ248" s="224"/>
      <c r="BK248" s="225">
        <v>5</v>
      </c>
      <c r="BL248" s="225">
        <v>4.2300000000000004</v>
      </c>
      <c r="BM248" s="225">
        <v>0.93</v>
      </c>
      <c r="BN248" s="225">
        <v>1.06</v>
      </c>
      <c r="BO248" s="224"/>
      <c r="BP248" s="225">
        <v>11.22</v>
      </c>
      <c r="BQ248" s="225">
        <v>11.22</v>
      </c>
      <c r="BR248" s="224"/>
      <c r="BS248" s="224"/>
      <c r="BT248" s="224"/>
      <c r="BU248" s="224"/>
      <c r="BV248" s="224"/>
      <c r="BW248" s="224"/>
      <c r="BX248" s="224"/>
      <c r="BY248" s="224"/>
      <c r="BZ248" s="224"/>
      <c r="CA248" s="224"/>
      <c r="CB248" s="224"/>
      <c r="CC248" s="224"/>
      <c r="CD248" s="226">
        <v>11.22</v>
      </c>
    </row>
    <row r="249" spans="1:82" x14ac:dyDescent="0.3">
      <c r="A249" s="221" t="str">
        <f t="shared" si="5"/>
        <v>NON ADDOther Non-ADDResearch on Gender in Science &amp; Engineering (GSE)Total</v>
      </c>
      <c r="B249" s="6" t="s">
        <v>223</v>
      </c>
      <c r="C249" s="6" t="s">
        <v>294</v>
      </c>
      <c r="D249" s="224" t="s">
        <v>320</v>
      </c>
      <c r="E249" s="6" t="s">
        <v>24</v>
      </c>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4"/>
      <c r="AE249" s="224"/>
      <c r="AF249" s="224"/>
      <c r="AG249" s="224"/>
      <c r="AH249" s="224"/>
      <c r="AI249" s="224"/>
      <c r="AJ249" s="224"/>
      <c r="AK249" s="224"/>
      <c r="AL249" s="224"/>
      <c r="AM249" s="224"/>
      <c r="AN249" s="224"/>
      <c r="AO249" s="224"/>
      <c r="AP249" s="224"/>
      <c r="AQ249" s="224"/>
      <c r="AR249" s="224"/>
      <c r="AS249" s="224"/>
      <c r="AT249" s="224"/>
      <c r="AU249" s="224"/>
      <c r="AV249" s="224"/>
      <c r="AW249" s="224"/>
      <c r="AX249" s="224"/>
      <c r="AY249" s="224"/>
      <c r="AZ249" s="224"/>
      <c r="BA249" s="224"/>
      <c r="BB249" s="224"/>
      <c r="BC249" s="224"/>
      <c r="BD249" s="224"/>
      <c r="BE249" s="224"/>
      <c r="BF249" s="224"/>
      <c r="BG249" s="224"/>
      <c r="BH249" s="224"/>
      <c r="BI249" s="224"/>
      <c r="BJ249" s="224"/>
      <c r="BK249" s="225">
        <v>1.66</v>
      </c>
      <c r="BL249" s="225">
        <v>8.34</v>
      </c>
      <c r="BM249" s="225">
        <v>2.2000000000000002</v>
      </c>
      <c r="BN249" s="225">
        <v>15.58</v>
      </c>
      <c r="BO249" s="224"/>
      <c r="BP249" s="225">
        <v>27.78</v>
      </c>
      <c r="BQ249" s="225">
        <v>27.78</v>
      </c>
      <c r="BR249" s="224"/>
      <c r="BS249" s="224"/>
      <c r="BT249" s="224"/>
      <c r="BU249" s="224"/>
      <c r="BV249" s="224"/>
      <c r="BW249" s="224"/>
      <c r="BX249" s="224"/>
      <c r="BY249" s="224"/>
      <c r="BZ249" s="224"/>
      <c r="CA249" s="224"/>
      <c r="CB249" s="224"/>
      <c r="CC249" s="224"/>
      <c r="CD249" s="226">
        <v>27.78</v>
      </c>
    </row>
    <row r="250" spans="1:82" x14ac:dyDescent="0.3">
      <c r="A250" s="221" t="str">
        <f t="shared" si="5"/>
        <v>NON ADDOther Non-ADDSBE Build and BroadenTotal</v>
      </c>
      <c r="B250" s="6" t="s">
        <v>223</v>
      </c>
      <c r="C250" s="6" t="s">
        <v>294</v>
      </c>
      <c r="D250" s="224" t="s">
        <v>321</v>
      </c>
      <c r="E250" s="6" t="s">
        <v>24</v>
      </c>
      <c r="F250" s="224"/>
      <c r="G250" s="224"/>
      <c r="H250" s="224"/>
      <c r="I250" s="224"/>
      <c r="J250" s="224"/>
      <c r="K250" s="224"/>
      <c r="L250" s="224"/>
      <c r="M250" s="224"/>
      <c r="N250" s="224"/>
      <c r="O250" s="224"/>
      <c r="P250" s="224"/>
      <c r="Q250" s="224"/>
      <c r="R250" s="224"/>
      <c r="S250" s="224"/>
      <c r="T250" s="224"/>
      <c r="U250" s="224"/>
      <c r="V250" s="224"/>
      <c r="W250" s="224"/>
      <c r="X250" s="224"/>
      <c r="Y250" s="224"/>
      <c r="Z250" s="224"/>
      <c r="AA250" s="224"/>
      <c r="AB250" s="224"/>
      <c r="AC250" s="224"/>
      <c r="AD250" s="224"/>
      <c r="AE250" s="224"/>
      <c r="AF250" s="224"/>
      <c r="AG250" s="224"/>
      <c r="AH250" s="224"/>
      <c r="AI250" s="224"/>
      <c r="AJ250" s="224"/>
      <c r="AK250" s="224"/>
      <c r="AL250" s="224"/>
      <c r="AM250" s="224"/>
      <c r="AN250" s="224"/>
      <c r="AO250" s="224"/>
      <c r="AP250" s="224"/>
      <c r="AQ250" s="224"/>
      <c r="AR250" s="224"/>
      <c r="AS250" s="224"/>
      <c r="AT250" s="224"/>
      <c r="AU250" s="225">
        <v>8.01</v>
      </c>
      <c r="AV250" s="225">
        <v>8.01</v>
      </c>
      <c r="AW250" s="224"/>
      <c r="AX250" s="224"/>
      <c r="AY250" s="224"/>
      <c r="AZ250" s="224"/>
      <c r="BA250" s="224"/>
      <c r="BB250" s="224"/>
      <c r="BC250" s="224"/>
      <c r="BD250" s="224"/>
      <c r="BE250" s="224"/>
      <c r="BF250" s="224"/>
      <c r="BG250" s="224"/>
      <c r="BH250" s="224"/>
      <c r="BI250" s="224"/>
      <c r="BJ250" s="225">
        <v>8.01</v>
      </c>
      <c r="BK250" s="224"/>
      <c r="BL250" s="224"/>
      <c r="BM250" s="224"/>
      <c r="BN250" s="224"/>
      <c r="BO250" s="224"/>
      <c r="BP250" s="224"/>
      <c r="BQ250" s="224"/>
      <c r="BR250" s="224"/>
      <c r="BS250" s="224"/>
      <c r="BT250" s="224"/>
      <c r="BU250" s="224"/>
      <c r="BV250" s="224"/>
      <c r="BW250" s="224"/>
      <c r="BX250" s="224"/>
      <c r="BY250" s="224"/>
      <c r="BZ250" s="224"/>
      <c r="CA250" s="224"/>
      <c r="CB250" s="224"/>
      <c r="CC250" s="224"/>
      <c r="CD250" s="226">
        <v>8.01</v>
      </c>
    </row>
    <row r="251" spans="1:82" x14ac:dyDescent="0.3">
      <c r="A251" s="221" t="str">
        <f t="shared" si="5"/>
        <v>NON ADDOther Non-ADDSBE Science of Broadening ParticipationTotal</v>
      </c>
      <c r="B251" s="6" t="s">
        <v>223</v>
      </c>
      <c r="C251" s="6" t="s">
        <v>294</v>
      </c>
      <c r="D251" s="224" t="s">
        <v>322</v>
      </c>
      <c r="E251" s="6" t="s">
        <v>24</v>
      </c>
      <c r="F251" s="224"/>
      <c r="G251" s="224"/>
      <c r="H251" s="224"/>
      <c r="I251" s="224"/>
      <c r="J251" s="224"/>
      <c r="K251" s="224"/>
      <c r="L251" s="224"/>
      <c r="M251" s="224"/>
      <c r="N251" s="224"/>
      <c r="O251" s="224"/>
      <c r="P251" s="224"/>
      <c r="Q251" s="224"/>
      <c r="R251" s="224"/>
      <c r="S251" s="224"/>
      <c r="T251" s="224"/>
      <c r="U251" s="224"/>
      <c r="V251" s="224"/>
      <c r="W251" s="224"/>
      <c r="X251" s="224"/>
      <c r="Y251" s="224"/>
      <c r="Z251" s="224"/>
      <c r="AA251" s="224"/>
      <c r="AB251" s="224"/>
      <c r="AC251" s="224"/>
      <c r="AD251" s="224"/>
      <c r="AE251" s="224"/>
      <c r="AF251" s="224"/>
      <c r="AG251" s="224"/>
      <c r="AH251" s="224"/>
      <c r="AI251" s="224"/>
      <c r="AJ251" s="224"/>
      <c r="AK251" s="224"/>
      <c r="AL251" s="224"/>
      <c r="AM251" s="224"/>
      <c r="AN251" s="224"/>
      <c r="AO251" s="224"/>
      <c r="AP251" s="224"/>
      <c r="AQ251" s="224"/>
      <c r="AR251" s="224"/>
      <c r="AS251" s="224"/>
      <c r="AT251" s="224"/>
      <c r="AU251" s="225">
        <v>1.5</v>
      </c>
      <c r="AV251" s="225">
        <v>1.5</v>
      </c>
      <c r="AW251" s="224"/>
      <c r="AX251" s="224"/>
      <c r="AY251" s="224"/>
      <c r="AZ251" s="224"/>
      <c r="BA251" s="224"/>
      <c r="BB251" s="224"/>
      <c r="BC251" s="224"/>
      <c r="BD251" s="224"/>
      <c r="BE251" s="224"/>
      <c r="BF251" s="224"/>
      <c r="BG251" s="224"/>
      <c r="BH251" s="224"/>
      <c r="BI251" s="224"/>
      <c r="BJ251" s="225">
        <v>1.5</v>
      </c>
      <c r="BK251" s="224"/>
      <c r="BL251" s="224"/>
      <c r="BM251" s="224"/>
      <c r="BN251" s="224"/>
      <c r="BO251" s="224"/>
      <c r="BP251" s="224"/>
      <c r="BQ251" s="224"/>
      <c r="BR251" s="224"/>
      <c r="BS251" s="224"/>
      <c r="BT251" s="224"/>
      <c r="BU251" s="224"/>
      <c r="BV251" s="224"/>
      <c r="BW251" s="224"/>
      <c r="BX251" s="224"/>
      <c r="BY251" s="224"/>
      <c r="BZ251" s="224"/>
      <c r="CA251" s="224"/>
      <c r="CB251" s="224"/>
      <c r="CC251" s="224"/>
      <c r="CD251" s="226">
        <v>1.5</v>
      </c>
    </row>
    <row r="252" spans="1:82" x14ac:dyDescent="0.3">
      <c r="A252" s="221" t="str">
        <f t="shared" si="5"/>
        <v>NON ADDOther Non-ADDSignificant Opportunities in Atmospheric Rsch &amp; Sci (SOARS)Total</v>
      </c>
      <c r="B252" s="6" t="s">
        <v>223</v>
      </c>
      <c r="C252" s="6" t="s">
        <v>294</v>
      </c>
      <c r="D252" s="224" t="s">
        <v>323</v>
      </c>
      <c r="E252" s="6" t="s">
        <v>24</v>
      </c>
      <c r="F252" s="224"/>
      <c r="G252" s="224"/>
      <c r="H252" s="224"/>
      <c r="I252" s="224"/>
      <c r="J252" s="224"/>
      <c r="K252" s="224"/>
      <c r="L252" s="224"/>
      <c r="M252" s="224"/>
      <c r="N252" s="224"/>
      <c r="O252" s="224"/>
      <c r="P252" s="224"/>
      <c r="Q252" s="224"/>
      <c r="R252" s="224"/>
      <c r="S252" s="224"/>
      <c r="T252" s="224"/>
      <c r="U252" s="224"/>
      <c r="V252" s="224"/>
      <c r="W252" s="224"/>
      <c r="X252" s="224"/>
      <c r="Y252" s="224"/>
      <c r="Z252" s="224"/>
      <c r="AA252" s="224"/>
      <c r="AB252" s="225">
        <v>0</v>
      </c>
      <c r="AC252" s="224"/>
      <c r="AD252" s="224"/>
      <c r="AE252" s="224"/>
      <c r="AF252" s="224"/>
      <c r="AG252" s="224"/>
      <c r="AH252" s="225">
        <v>0</v>
      </c>
      <c r="AI252" s="224"/>
      <c r="AJ252" s="224"/>
      <c r="AK252" s="224"/>
      <c r="AL252" s="224"/>
      <c r="AM252" s="224"/>
      <c r="AN252" s="224"/>
      <c r="AO252" s="224"/>
      <c r="AP252" s="224"/>
      <c r="AQ252" s="224"/>
      <c r="AR252" s="224"/>
      <c r="AS252" s="224"/>
      <c r="AT252" s="224"/>
      <c r="AU252" s="224"/>
      <c r="AV252" s="224"/>
      <c r="AW252" s="224"/>
      <c r="AX252" s="224"/>
      <c r="AY252" s="224"/>
      <c r="AZ252" s="224"/>
      <c r="BA252" s="224"/>
      <c r="BB252" s="224"/>
      <c r="BC252" s="224"/>
      <c r="BD252" s="224"/>
      <c r="BE252" s="224"/>
      <c r="BF252" s="224"/>
      <c r="BG252" s="224"/>
      <c r="BH252" s="224"/>
      <c r="BI252" s="224"/>
      <c r="BJ252" s="225">
        <v>0</v>
      </c>
      <c r="BK252" s="224"/>
      <c r="BL252" s="224"/>
      <c r="BM252" s="224"/>
      <c r="BN252" s="224"/>
      <c r="BO252" s="224"/>
      <c r="BP252" s="224"/>
      <c r="BQ252" s="224"/>
      <c r="BR252" s="224"/>
      <c r="BS252" s="224"/>
      <c r="BT252" s="224"/>
      <c r="BU252" s="224"/>
      <c r="BV252" s="224"/>
      <c r="BW252" s="224"/>
      <c r="BX252" s="224"/>
      <c r="BY252" s="224"/>
      <c r="BZ252" s="224"/>
      <c r="CA252" s="224"/>
      <c r="CB252" s="224"/>
      <c r="CC252" s="224"/>
      <c r="CD252" s="226">
        <v>0</v>
      </c>
    </row>
    <row r="253" spans="1:82" x14ac:dyDescent="0.3">
      <c r="A253" s="221" t="str">
        <f t="shared" si="5"/>
        <v>NON ADDOther Non-ADDSpectrum Innovation InitiativeTotal</v>
      </c>
      <c r="B253" s="6" t="s">
        <v>223</v>
      </c>
      <c r="C253" s="6" t="s">
        <v>294</v>
      </c>
      <c r="D253" s="224" t="s">
        <v>324</v>
      </c>
      <c r="E253" s="6" t="s">
        <v>24</v>
      </c>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4"/>
      <c r="AE253" s="224"/>
      <c r="AF253" s="224"/>
      <c r="AG253" s="224"/>
      <c r="AH253" s="224"/>
      <c r="AI253" s="224"/>
      <c r="AJ253" s="224"/>
      <c r="AK253" s="224"/>
      <c r="AL253" s="224"/>
      <c r="AM253" s="225">
        <v>17</v>
      </c>
      <c r="AN253" s="224"/>
      <c r="AO253" s="224"/>
      <c r="AP253" s="225">
        <v>17</v>
      </c>
      <c r="AQ253" s="224"/>
      <c r="AR253" s="224"/>
      <c r="AS253" s="224"/>
      <c r="AT253" s="224"/>
      <c r="AU253" s="224"/>
      <c r="AV253" s="224"/>
      <c r="AW253" s="224"/>
      <c r="AX253" s="224"/>
      <c r="AY253" s="224"/>
      <c r="AZ253" s="224"/>
      <c r="BA253" s="224"/>
      <c r="BB253" s="224"/>
      <c r="BC253" s="224"/>
      <c r="BD253" s="224"/>
      <c r="BE253" s="224"/>
      <c r="BF253" s="224"/>
      <c r="BG253" s="224"/>
      <c r="BH253" s="224"/>
      <c r="BI253" s="224"/>
      <c r="BJ253" s="225">
        <v>17</v>
      </c>
      <c r="BK253" s="224"/>
      <c r="BL253" s="224"/>
      <c r="BM253" s="224"/>
      <c r="BN253" s="224"/>
      <c r="BO253" s="224"/>
      <c r="BP253" s="224"/>
      <c r="BQ253" s="224"/>
      <c r="BR253" s="224"/>
      <c r="BS253" s="224"/>
      <c r="BT253" s="224"/>
      <c r="BU253" s="224"/>
      <c r="BV253" s="224"/>
      <c r="BW253" s="224"/>
      <c r="BX253" s="224"/>
      <c r="BY253" s="224"/>
      <c r="BZ253" s="224"/>
      <c r="CA253" s="224"/>
      <c r="CB253" s="224"/>
      <c r="CC253" s="224"/>
      <c r="CD253" s="226">
        <v>17</v>
      </c>
    </row>
  </sheetData>
  <mergeCells count="13">
    <mergeCell ref="CA5:CC5"/>
    <mergeCell ref="F2:J2"/>
    <mergeCell ref="F5:BJ5"/>
    <mergeCell ref="BK5:BQ5"/>
    <mergeCell ref="BR5:BT5"/>
    <mergeCell ref="BU5:BW5"/>
    <mergeCell ref="BX5:BZ5"/>
    <mergeCell ref="CC6:CC7"/>
    <mergeCell ref="BT6:BT7"/>
    <mergeCell ref="BW6:BW7"/>
    <mergeCell ref="BZ6:BZ7"/>
    <mergeCell ref="BJ6:BJ7"/>
    <mergeCell ref="BQ6:BQ7"/>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74539-272F-42EC-85D9-1F33F08E6466}">
  <sheetPr>
    <tabColor theme="0" tint="-0.249977111117893"/>
  </sheetPr>
  <dimension ref="A1:CG252"/>
  <sheetViews>
    <sheetView workbookViewId="0">
      <pane xSplit="5" ySplit="7" topLeftCell="F8" activePane="bottomRight" state="frozen"/>
      <selection activeCell="D124" sqref="D124"/>
      <selection pane="topRight" activeCell="D124" sqref="D124"/>
      <selection pane="bottomLeft" activeCell="D124" sqref="D124"/>
      <selection pane="bottomRight" activeCell="D26" sqref="D26"/>
    </sheetView>
  </sheetViews>
  <sheetFormatPr defaultColWidth="8.6640625" defaultRowHeight="14.4" x14ac:dyDescent="0.3"/>
  <cols>
    <col min="1" max="1" width="18" style="3" customWidth="1"/>
    <col min="2" max="2" width="8.33203125" style="3" customWidth="1"/>
    <col min="3" max="3" width="14.6640625" style="3" customWidth="1"/>
    <col min="4" max="4" width="37.33203125" style="3" customWidth="1"/>
    <col min="5" max="5" width="26.33203125" style="3" customWidth="1"/>
    <col min="6" max="9" width="11.5546875" style="3" customWidth="1"/>
    <col min="10" max="10" width="6.6640625" style="3" customWidth="1"/>
    <col min="11" max="11" width="11.5546875" style="3" customWidth="1"/>
    <col min="12" max="12" width="13.6640625" style="3" customWidth="1"/>
    <col min="13" max="18" width="11.5546875" style="3" customWidth="1"/>
    <col min="19" max="19" width="13.6640625" style="3" customWidth="1"/>
    <col min="20" max="26" width="11.5546875" style="3" customWidth="1"/>
    <col min="27" max="27" width="13.6640625" style="3" customWidth="1"/>
    <col min="28" max="33" width="11.5546875" style="3" customWidth="1"/>
    <col min="34" max="34" width="13.6640625" style="3" customWidth="1"/>
    <col min="35" max="41" width="11.5546875" style="3" customWidth="1"/>
    <col min="42" max="42" width="13.6640625" style="3" customWidth="1"/>
    <col min="43" max="47" width="11.5546875" style="3" customWidth="1"/>
    <col min="48" max="48" width="13.6640625" style="3" customWidth="1"/>
    <col min="49" max="53" width="11.5546875" style="3" customWidth="1"/>
    <col min="54" max="54" width="13.6640625" style="3" customWidth="1"/>
    <col min="55" max="55" width="11.5546875" style="3" customWidth="1"/>
    <col min="56" max="56" width="13.6640625" style="3" customWidth="1"/>
    <col min="57" max="58" width="11.5546875" style="3" customWidth="1"/>
    <col min="59" max="59" width="13.6640625" style="3" customWidth="1"/>
    <col min="60" max="60" width="11.5546875" style="3" customWidth="1"/>
    <col min="61" max="61" width="13.6640625" style="3" customWidth="1"/>
    <col min="62" max="62" width="11.5546875" style="3" customWidth="1"/>
    <col min="63" max="63" width="13.6640625" style="3" customWidth="1"/>
    <col min="64" max="64" width="11" style="3" customWidth="1"/>
    <col min="65" max="69" width="11.5546875" style="3" customWidth="1"/>
    <col min="70" max="70" width="13.6640625" style="3" customWidth="1"/>
    <col min="71" max="71" width="11" style="3" customWidth="1"/>
    <col min="72" max="72" width="11.5546875" style="3" customWidth="1"/>
    <col min="73" max="73" width="13.6640625" style="3" customWidth="1"/>
    <col min="74" max="74" width="11" style="3" customWidth="1"/>
    <col min="75" max="76" width="11.5546875" style="3" customWidth="1"/>
    <col min="77" max="77" width="13.6640625" style="3" customWidth="1"/>
    <col min="78" max="78" width="11" style="3" customWidth="1"/>
    <col min="79" max="79" width="11.5546875" style="3" customWidth="1"/>
    <col min="80" max="80" width="13.6640625" style="3" customWidth="1"/>
    <col min="81" max="81" width="11" style="3" customWidth="1"/>
    <col min="82" max="82" width="11.5546875" style="3" customWidth="1"/>
    <col min="83" max="83" width="13.6640625" style="3" customWidth="1"/>
    <col min="84" max="84" width="11" style="3" customWidth="1"/>
    <col min="85" max="85" width="13.6640625" style="3" customWidth="1"/>
    <col min="86" max="86" width="0" style="3" hidden="1" customWidth="1"/>
    <col min="87" max="16384" width="8.6640625" style="3"/>
  </cols>
  <sheetData>
    <row r="1" spans="1:85" ht="26.1" customHeight="1" x14ac:dyDescent="0.3"/>
    <row r="2" spans="1:85" ht="20.100000000000001" customHeight="1" x14ac:dyDescent="0.3">
      <c r="F2" s="1016" t="s">
        <v>27</v>
      </c>
      <c r="G2" s="1017"/>
      <c r="H2" s="1017"/>
      <c r="I2" s="1017"/>
      <c r="J2" s="1017"/>
    </row>
    <row r="3" spans="1:85" s="4" customFormat="1" ht="20.100000000000001" customHeight="1" x14ac:dyDescent="0.3">
      <c r="F3" s="4" t="str">
        <f>CONCATENATE(F5,F6)</f>
        <v>BIODBI</v>
      </c>
      <c r="G3" s="4" t="str">
        <f t="shared" ref="G3:BR3" si="0">CONCATENATE(G5,G6)</f>
        <v>BIODEB</v>
      </c>
      <c r="H3" s="4" t="str">
        <f t="shared" si="0"/>
        <v>BIOEF</v>
      </c>
      <c r="I3" s="4" t="str">
        <f t="shared" si="0"/>
        <v>BIOIOS</v>
      </c>
      <c r="J3" s="4" t="str">
        <f t="shared" si="0"/>
        <v>BIOMCB</v>
      </c>
      <c r="K3" s="4" t="str">
        <f t="shared" si="0"/>
        <v>BIOUNDIST</v>
      </c>
      <c r="L3" s="4" t="str">
        <f t="shared" si="0"/>
        <v>BIOTotal</v>
      </c>
      <c r="M3" s="4" t="str">
        <f t="shared" si="0"/>
        <v>CISECCF</v>
      </c>
      <c r="N3" s="4" t="str">
        <f t="shared" si="0"/>
        <v>CISECNS</v>
      </c>
      <c r="O3" s="4" t="str">
        <f t="shared" si="0"/>
        <v>CISEIIS</v>
      </c>
      <c r="P3" s="4" t="str">
        <f t="shared" si="0"/>
        <v>CISEITR</v>
      </c>
      <c r="Q3" s="4" t="str">
        <f t="shared" si="0"/>
        <v>CISEOAC</v>
      </c>
      <c r="R3" s="4" t="str">
        <f t="shared" si="0"/>
        <v>CISEUNDIST</v>
      </c>
      <c r="S3" s="4" t="str">
        <f t="shared" si="0"/>
        <v>CISETotal</v>
      </c>
      <c r="T3" s="4" t="str">
        <f t="shared" si="0"/>
        <v>ENGCBET</v>
      </c>
      <c r="U3" s="4" t="str">
        <f t="shared" si="0"/>
        <v>ENGCMMI</v>
      </c>
      <c r="V3" s="4" t="str">
        <f t="shared" si="0"/>
        <v>ENGECCS</v>
      </c>
      <c r="W3" s="4" t="str">
        <f t="shared" si="0"/>
        <v>ENGEEC</v>
      </c>
      <c r="X3" s="4" t="str">
        <f t="shared" si="0"/>
        <v>ENGEFMA</v>
      </c>
      <c r="Y3" s="4" t="str">
        <f t="shared" si="0"/>
        <v>ENGIIP</v>
      </c>
      <c r="Z3" s="4" t="str">
        <f t="shared" si="0"/>
        <v>ENGUNDIST</v>
      </c>
      <c r="AA3" s="4" t="str">
        <f t="shared" si="0"/>
        <v>ENGTotal</v>
      </c>
      <c r="AB3" s="4" t="str">
        <f t="shared" si="0"/>
        <v>GEOAGS</v>
      </c>
      <c r="AC3" s="4" t="str">
        <f t="shared" si="0"/>
        <v>GEOEAR</v>
      </c>
      <c r="AD3" s="4" t="str">
        <f t="shared" si="0"/>
        <v>GEOOCE</v>
      </c>
      <c r="AE3" s="4" t="str">
        <f t="shared" si="0"/>
        <v>GEO/OPPPLR</v>
      </c>
      <c r="AF3" s="4" t="str">
        <f t="shared" si="0"/>
        <v>GEORISE</v>
      </c>
      <c r="AG3" s="4" t="str">
        <f t="shared" si="0"/>
        <v>GEOUNDIST</v>
      </c>
      <c r="AH3" s="4" t="str">
        <f t="shared" si="0"/>
        <v>GEOTotal</v>
      </c>
      <c r="AI3" s="4" t="str">
        <f t="shared" si="0"/>
        <v>MPSAST</v>
      </c>
      <c r="AJ3" s="4" t="str">
        <f t="shared" si="0"/>
        <v>MPSCHE</v>
      </c>
      <c r="AK3" s="4" t="str">
        <f t="shared" si="0"/>
        <v>MPSDMR</v>
      </c>
      <c r="AL3" s="4" t="str">
        <f t="shared" si="0"/>
        <v>MPSDMS</v>
      </c>
      <c r="AM3" s="4" t="str">
        <f t="shared" si="0"/>
        <v>MPSOMA</v>
      </c>
      <c r="AN3" s="4" t="str">
        <f t="shared" si="0"/>
        <v>MPSPHY</v>
      </c>
      <c r="AO3" s="4" t="str">
        <f t="shared" si="0"/>
        <v>MPSUNDIST</v>
      </c>
      <c r="AP3" s="4" t="str">
        <f t="shared" si="0"/>
        <v>MPSTotal</v>
      </c>
      <c r="AQ3" s="4" t="str">
        <f t="shared" si="0"/>
        <v>SBEBCS</v>
      </c>
      <c r="AR3" s="4" t="str">
        <f t="shared" si="0"/>
        <v>SBENCSES</v>
      </c>
      <c r="AS3" s="4" t="str">
        <f t="shared" si="0"/>
        <v>SBEOMA</v>
      </c>
      <c r="AT3" s="4" t="str">
        <f t="shared" si="0"/>
        <v>SBESES</v>
      </c>
      <c r="AU3" s="4" t="str">
        <f t="shared" si="0"/>
        <v>SBEUNDIST</v>
      </c>
      <c r="AV3" s="4" t="str">
        <f t="shared" si="0"/>
        <v>SBETotal</v>
      </c>
      <c r="AW3" s="4" t="str">
        <f t="shared" si="0"/>
        <v>TIPITE</v>
      </c>
      <c r="AX3" s="4" t="str">
        <f t="shared" si="0"/>
        <v>TIPSPO</v>
      </c>
      <c r="AY3" s="4" t="str">
        <f t="shared" si="0"/>
        <v>TIPTF</v>
      </c>
      <c r="AZ3" s="4" t="str">
        <f t="shared" si="0"/>
        <v>TIPTI</v>
      </c>
      <c r="BA3" s="4" t="str">
        <f t="shared" si="0"/>
        <v>TIPUNDIST</v>
      </c>
      <c r="BB3" s="4" t="str">
        <f t="shared" si="0"/>
        <v>TIPTotal</v>
      </c>
      <c r="BC3" s="4" t="str">
        <f t="shared" si="0"/>
        <v>OISEOISE</v>
      </c>
      <c r="BD3" s="4" t="str">
        <f t="shared" si="0"/>
        <v>OISETotal</v>
      </c>
      <c r="BE3" s="4" t="str">
        <f t="shared" si="0"/>
        <v>OIAEPSCoR</v>
      </c>
      <c r="BF3" s="4" t="str">
        <f t="shared" si="0"/>
        <v>OIAIA</v>
      </c>
      <c r="BG3" s="4" t="str">
        <f t="shared" si="0"/>
        <v>OIATotal</v>
      </c>
      <c r="BH3" s="4" t="str">
        <f t="shared" si="0"/>
        <v>USARCUSARC</v>
      </c>
      <c r="BI3" s="4" t="str">
        <f t="shared" si="0"/>
        <v>USARCTotal</v>
      </c>
      <c r="BJ3" s="4" t="str">
        <f t="shared" si="0"/>
        <v>USALSUSALS</v>
      </c>
      <c r="BK3" s="4" t="str">
        <f t="shared" si="0"/>
        <v>USALSTotal</v>
      </c>
      <c r="BL3" s="4" t="str">
        <f t="shared" si="0"/>
        <v>Total</v>
      </c>
      <c r="BM3" s="4" t="str">
        <f t="shared" si="0"/>
        <v>EDUDGE</v>
      </c>
      <c r="BN3" s="4" t="str">
        <f t="shared" si="0"/>
        <v>EDUDRL</v>
      </c>
      <c r="BO3" s="4" t="str">
        <f t="shared" si="0"/>
        <v>EDUDUE</v>
      </c>
      <c r="BP3" s="4" t="str">
        <f t="shared" si="0"/>
        <v>EDUEES</v>
      </c>
      <c r="BQ3" s="4" t="str">
        <f t="shared" si="0"/>
        <v>EDUUNDIST</v>
      </c>
      <c r="BR3" s="4" t="str">
        <f t="shared" si="0"/>
        <v>EDUTotal</v>
      </c>
      <c r="BS3" s="4" t="str">
        <f t="shared" ref="BS3:CG3" si="1">CONCATENATE(BS5,BS6)</f>
        <v>Total</v>
      </c>
      <c r="BT3" s="4" t="str">
        <f t="shared" si="1"/>
        <v>MREFCMREFC</v>
      </c>
      <c r="BU3" s="4" t="str">
        <f t="shared" si="1"/>
        <v>MREFCTotal</v>
      </c>
      <c r="BV3" s="4" t="str">
        <f t="shared" si="1"/>
        <v>Total</v>
      </c>
      <c r="BW3" s="4" t="str">
        <f t="shared" si="1"/>
        <v>AOAMGAC</v>
      </c>
      <c r="BX3" s="4" t="str">
        <f t="shared" si="1"/>
        <v>AOAMROD</v>
      </c>
      <c r="BY3" s="4" t="str">
        <f t="shared" si="1"/>
        <v>AOAMTotal</v>
      </c>
      <c r="BZ3" s="4" t="str">
        <f t="shared" si="1"/>
        <v>Total</v>
      </c>
      <c r="CA3" s="4" t="str">
        <f t="shared" si="1"/>
        <v>OIGGAC</v>
      </c>
      <c r="CB3" s="4" t="str">
        <f t="shared" si="1"/>
        <v>OIGTotal</v>
      </c>
      <c r="CC3" s="4" t="str">
        <f t="shared" si="1"/>
        <v>Total</v>
      </c>
      <c r="CD3" s="4" t="str">
        <f t="shared" si="1"/>
        <v>NSBNSB</v>
      </c>
      <c r="CE3" s="4" t="str">
        <f t="shared" si="1"/>
        <v>NSBTotal</v>
      </c>
      <c r="CF3" s="4" t="str">
        <f t="shared" si="1"/>
        <v>Total</v>
      </c>
      <c r="CG3" s="4" t="str">
        <f t="shared" si="1"/>
        <v>TotalTotal</v>
      </c>
    </row>
    <row r="4" spans="1:85" ht="20.100000000000001" customHeight="1" x14ac:dyDescent="0.3">
      <c r="A4" s="5" t="s">
        <v>28</v>
      </c>
      <c r="B4" s="5" t="s">
        <v>28</v>
      </c>
      <c r="C4" s="5" t="s">
        <v>28</v>
      </c>
      <c r="D4" s="5" t="s">
        <v>28</v>
      </c>
      <c r="E4" s="5" t="s">
        <v>28</v>
      </c>
      <c r="F4" s="1012" t="s">
        <v>29</v>
      </c>
      <c r="G4" s="1013"/>
      <c r="H4" s="1013"/>
      <c r="I4" s="1013"/>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c r="AH4" s="1013"/>
      <c r="AI4" s="1013"/>
      <c r="AJ4" s="1013"/>
      <c r="AK4" s="1013"/>
      <c r="AL4" s="1013"/>
      <c r="AM4" s="1013"/>
      <c r="AN4" s="1013"/>
      <c r="AO4" s="1013"/>
      <c r="AP4" s="1013"/>
      <c r="AQ4" s="1013"/>
      <c r="AR4" s="1013"/>
      <c r="AS4" s="1013"/>
      <c r="AT4" s="1013"/>
      <c r="AU4" s="1013"/>
      <c r="AV4" s="1013"/>
      <c r="AW4" s="1013"/>
      <c r="AX4" s="1013"/>
      <c r="AY4" s="1013"/>
      <c r="AZ4" s="1013"/>
      <c r="BA4" s="1013"/>
      <c r="BB4" s="1013"/>
      <c r="BC4" s="1013"/>
      <c r="BD4" s="1013"/>
      <c r="BE4" s="1013"/>
      <c r="BF4" s="1013"/>
      <c r="BG4" s="1013"/>
      <c r="BH4" s="1013"/>
      <c r="BI4" s="1013"/>
      <c r="BJ4" s="1013"/>
      <c r="BK4" s="1013"/>
      <c r="BL4" s="1014"/>
      <c r="BM4" s="1012" t="s">
        <v>30</v>
      </c>
      <c r="BN4" s="1013"/>
      <c r="BO4" s="1013"/>
      <c r="BP4" s="1013"/>
      <c r="BQ4" s="1013"/>
      <c r="BR4" s="1013"/>
      <c r="BS4" s="1014"/>
      <c r="BT4" s="1012" t="s">
        <v>31</v>
      </c>
      <c r="BU4" s="1013"/>
      <c r="BV4" s="1014"/>
      <c r="BW4" s="1012" t="s">
        <v>32</v>
      </c>
      <c r="BX4" s="1013"/>
      <c r="BY4" s="1013"/>
      <c r="BZ4" s="1014"/>
      <c r="CA4" s="1012" t="s">
        <v>33</v>
      </c>
      <c r="CB4" s="1013"/>
      <c r="CC4" s="1014"/>
      <c r="CD4" s="1012" t="s">
        <v>34</v>
      </c>
      <c r="CE4" s="1013"/>
      <c r="CF4" s="1014"/>
      <c r="CG4" s="5" t="s">
        <v>24</v>
      </c>
    </row>
    <row r="5" spans="1:85" ht="15.6" x14ac:dyDescent="0.3">
      <c r="A5" s="5" t="s">
        <v>28</v>
      </c>
      <c r="B5" s="5" t="s">
        <v>28</v>
      </c>
      <c r="C5" s="5" t="s">
        <v>28</v>
      </c>
      <c r="D5" s="5" t="s">
        <v>28</v>
      </c>
      <c r="E5" s="5" t="s">
        <v>28</v>
      </c>
      <c r="F5" s="5" t="s">
        <v>0</v>
      </c>
      <c r="G5" s="5" t="s">
        <v>0</v>
      </c>
      <c r="H5" s="5" t="s">
        <v>0</v>
      </c>
      <c r="I5" s="5" t="s">
        <v>0</v>
      </c>
      <c r="J5" s="5" t="s">
        <v>0</v>
      </c>
      <c r="K5" s="5" t="s">
        <v>0</v>
      </c>
      <c r="L5" s="5" t="s">
        <v>0</v>
      </c>
      <c r="M5" s="5" t="s">
        <v>1</v>
      </c>
      <c r="N5" s="5" t="s">
        <v>1</v>
      </c>
      <c r="O5" s="5" t="s">
        <v>1</v>
      </c>
      <c r="P5" s="5" t="s">
        <v>1</v>
      </c>
      <c r="Q5" s="5" t="s">
        <v>1</v>
      </c>
      <c r="R5" s="5" t="s">
        <v>1</v>
      </c>
      <c r="S5" s="5" t="s">
        <v>1</v>
      </c>
      <c r="T5" s="5" t="s">
        <v>2</v>
      </c>
      <c r="U5" s="5" t="s">
        <v>2</v>
      </c>
      <c r="V5" s="5" t="s">
        <v>2</v>
      </c>
      <c r="W5" s="5" t="s">
        <v>2</v>
      </c>
      <c r="X5" s="5" t="s">
        <v>2</v>
      </c>
      <c r="Y5" s="5" t="s">
        <v>2</v>
      </c>
      <c r="Z5" s="5" t="s">
        <v>2</v>
      </c>
      <c r="AA5" s="5" t="s">
        <v>2</v>
      </c>
      <c r="AB5" s="5" t="s">
        <v>3</v>
      </c>
      <c r="AC5" s="5" t="s">
        <v>3</v>
      </c>
      <c r="AD5" s="5" t="s">
        <v>3</v>
      </c>
      <c r="AE5" s="5" t="s">
        <v>35</v>
      </c>
      <c r="AF5" s="5" t="s">
        <v>3</v>
      </c>
      <c r="AG5" s="5" t="s">
        <v>3</v>
      </c>
      <c r="AH5" s="5" t="s">
        <v>3</v>
      </c>
      <c r="AI5" s="5" t="s">
        <v>7</v>
      </c>
      <c r="AJ5" s="5" t="s">
        <v>7</v>
      </c>
      <c r="AK5" s="5" t="s">
        <v>7</v>
      </c>
      <c r="AL5" s="5" t="s">
        <v>7</v>
      </c>
      <c r="AM5" s="5" t="s">
        <v>7</v>
      </c>
      <c r="AN5" s="5" t="s">
        <v>7</v>
      </c>
      <c r="AO5" s="5" t="s">
        <v>7</v>
      </c>
      <c r="AP5" s="5" t="s">
        <v>7</v>
      </c>
      <c r="AQ5" s="5" t="s">
        <v>8</v>
      </c>
      <c r="AR5" s="5" t="s">
        <v>8</v>
      </c>
      <c r="AS5" s="5" t="s">
        <v>8</v>
      </c>
      <c r="AT5" s="5" t="s">
        <v>8</v>
      </c>
      <c r="AU5" s="5" t="s">
        <v>8</v>
      </c>
      <c r="AV5" s="5" t="s">
        <v>8</v>
      </c>
      <c r="AW5" s="5" t="s">
        <v>9</v>
      </c>
      <c r="AX5" s="5" t="s">
        <v>9</v>
      </c>
      <c r="AY5" s="5" t="s">
        <v>9</v>
      </c>
      <c r="AZ5" s="5" t="s">
        <v>9</v>
      </c>
      <c r="BA5" s="5" t="s">
        <v>9</v>
      </c>
      <c r="BB5" s="5" t="s">
        <v>9</v>
      </c>
      <c r="BC5" s="5" t="s">
        <v>12</v>
      </c>
      <c r="BD5" s="5" t="s">
        <v>12</v>
      </c>
      <c r="BE5" s="5" t="s">
        <v>36</v>
      </c>
      <c r="BF5" s="5" t="s">
        <v>36</v>
      </c>
      <c r="BG5" s="5" t="s">
        <v>36</v>
      </c>
      <c r="BH5" s="5" t="s">
        <v>37</v>
      </c>
      <c r="BI5" s="5" t="s">
        <v>37</v>
      </c>
      <c r="BJ5" s="5" t="s">
        <v>38</v>
      </c>
      <c r="BK5" s="5" t="s">
        <v>38</v>
      </c>
      <c r="BL5" s="1012" t="s">
        <v>24</v>
      </c>
      <c r="BM5" s="5" t="s">
        <v>30</v>
      </c>
      <c r="BN5" s="5" t="s">
        <v>30</v>
      </c>
      <c r="BO5" s="5" t="s">
        <v>30</v>
      </c>
      <c r="BP5" s="5" t="s">
        <v>30</v>
      </c>
      <c r="BQ5" s="5" t="s">
        <v>30</v>
      </c>
      <c r="BR5" s="5" t="s">
        <v>30</v>
      </c>
      <c r="BS5" s="1012" t="s">
        <v>24</v>
      </c>
      <c r="BT5" s="5" t="s">
        <v>31</v>
      </c>
      <c r="BU5" s="5" t="s">
        <v>31</v>
      </c>
      <c r="BV5" s="1012" t="s">
        <v>24</v>
      </c>
      <c r="BW5" s="5" t="s">
        <v>32</v>
      </c>
      <c r="BX5" s="5" t="s">
        <v>32</v>
      </c>
      <c r="BY5" s="5" t="s">
        <v>32</v>
      </c>
      <c r="BZ5" s="1012" t="s">
        <v>24</v>
      </c>
      <c r="CA5" s="5" t="s">
        <v>33</v>
      </c>
      <c r="CB5" s="5" t="s">
        <v>33</v>
      </c>
      <c r="CC5" s="1012" t="s">
        <v>24</v>
      </c>
      <c r="CD5" s="5" t="s">
        <v>34</v>
      </c>
      <c r="CE5" s="5" t="s">
        <v>34</v>
      </c>
      <c r="CF5" s="1012" t="s">
        <v>24</v>
      </c>
      <c r="CG5" s="5" t="s">
        <v>24</v>
      </c>
    </row>
    <row r="6" spans="1:85" ht="15.6" customHeight="1" x14ac:dyDescent="0.3">
      <c r="A6" s="5" t="s">
        <v>28</v>
      </c>
      <c r="B6" s="5" t="s">
        <v>28</v>
      </c>
      <c r="C6" s="5" t="s">
        <v>28</v>
      </c>
      <c r="D6" s="5" t="s">
        <v>28</v>
      </c>
      <c r="E6" s="5" t="s">
        <v>28</v>
      </c>
      <c r="F6" s="5" t="s">
        <v>39</v>
      </c>
      <c r="G6" s="5" t="s">
        <v>40</v>
      </c>
      <c r="H6" s="5" t="s">
        <v>41</v>
      </c>
      <c r="I6" s="5" t="s">
        <v>42</v>
      </c>
      <c r="J6" s="5" t="s">
        <v>43</v>
      </c>
      <c r="K6" s="5" t="s">
        <v>44</v>
      </c>
      <c r="L6" s="5" t="s">
        <v>24</v>
      </c>
      <c r="M6" s="5" t="s">
        <v>45</v>
      </c>
      <c r="N6" s="5" t="s">
        <v>46</v>
      </c>
      <c r="O6" s="5" t="s">
        <v>47</v>
      </c>
      <c r="P6" s="5" t="s">
        <v>48</v>
      </c>
      <c r="Q6" s="5" t="s">
        <v>49</v>
      </c>
      <c r="R6" s="5" t="s">
        <v>44</v>
      </c>
      <c r="S6" s="5" t="s">
        <v>24</v>
      </c>
      <c r="T6" s="5" t="s">
        <v>50</v>
      </c>
      <c r="U6" s="5" t="s">
        <v>51</v>
      </c>
      <c r="V6" s="5" t="s">
        <v>52</v>
      </c>
      <c r="W6" s="5" t="s">
        <v>53</v>
      </c>
      <c r="X6" s="5" t="s">
        <v>54</v>
      </c>
      <c r="Y6" s="5" t="s">
        <v>55</v>
      </c>
      <c r="Z6" s="5" t="s">
        <v>44</v>
      </c>
      <c r="AA6" s="5" t="s">
        <v>24</v>
      </c>
      <c r="AB6" s="5" t="s">
        <v>56</v>
      </c>
      <c r="AC6" s="5" t="s">
        <v>57</v>
      </c>
      <c r="AD6" s="5" t="s">
        <v>58</v>
      </c>
      <c r="AE6" s="5" t="s">
        <v>59</v>
      </c>
      <c r="AF6" s="5" t="s">
        <v>60</v>
      </c>
      <c r="AG6" s="5" t="s">
        <v>44</v>
      </c>
      <c r="AH6" s="5" t="s">
        <v>24</v>
      </c>
      <c r="AI6" s="5" t="s">
        <v>61</v>
      </c>
      <c r="AJ6" s="5" t="s">
        <v>62</v>
      </c>
      <c r="AK6" s="5" t="s">
        <v>63</v>
      </c>
      <c r="AL6" s="5" t="s">
        <v>64</v>
      </c>
      <c r="AM6" s="5" t="s">
        <v>65</v>
      </c>
      <c r="AN6" s="5" t="s">
        <v>66</v>
      </c>
      <c r="AO6" s="5" t="s">
        <v>44</v>
      </c>
      <c r="AP6" s="5" t="s">
        <v>24</v>
      </c>
      <c r="AQ6" s="5" t="s">
        <v>67</v>
      </c>
      <c r="AR6" s="5" t="s">
        <v>68</v>
      </c>
      <c r="AS6" s="5" t="s">
        <v>65</v>
      </c>
      <c r="AT6" s="5" t="s">
        <v>69</v>
      </c>
      <c r="AU6" s="5" t="s">
        <v>44</v>
      </c>
      <c r="AV6" s="5" t="s">
        <v>24</v>
      </c>
      <c r="AW6" s="5" t="s">
        <v>70</v>
      </c>
      <c r="AX6" s="5" t="s">
        <v>71</v>
      </c>
      <c r="AY6" s="5" t="s">
        <v>72</v>
      </c>
      <c r="AZ6" s="5" t="s">
        <v>73</v>
      </c>
      <c r="BA6" s="5" t="s">
        <v>44</v>
      </c>
      <c r="BB6" s="5" t="s">
        <v>24</v>
      </c>
      <c r="BC6" s="5" t="s">
        <v>12</v>
      </c>
      <c r="BD6" s="5" t="s">
        <v>24</v>
      </c>
      <c r="BE6" s="5" t="s">
        <v>14</v>
      </c>
      <c r="BF6" s="5" t="s">
        <v>13</v>
      </c>
      <c r="BG6" s="5" t="s">
        <v>24</v>
      </c>
      <c r="BH6" s="5" t="s">
        <v>37</v>
      </c>
      <c r="BI6" s="5" t="s">
        <v>24</v>
      </c>
      <c r="BJ6" s="5" t="s">
        <v>38</v>
      </c>
      <c r="BK6" s="5" t="s">
        <v>24</v>
      </c>
      <c r="BL6" s="1015"/>
      <c r="BM6" s="5" t="s">
        <v>74</v>
      </c>
      <c r="BN6" s="5" t="s">
        <v>75</v>
      </c>
      <c r="BO6" s="5" t="s">
        <v>76</v>
      </c>
      <c r="BP6" s="5" t="s">
        <v>77</v>
      </c>
      <c r="BQ6" s="5" t="s">
        <v>44</v>
      </c>
      <c r="BR6" s="5" t="s">
        <v>24</v>
      </c>
      <c r="BS6" s="1015"/>
      <c r="BT6" s="5" t="s">
        <v>31</v>
      </c>
      <c r="BU6" s="5" t="s">
        <v>24</v>
      </c>
      <c r="BV6" s="1015"/>
      <c r="BW6" s="5" t="s">
        <v>78</v>
      </c>
      <c r="BX6" s="5" t="s">
        <v>79</v>
      </c>
      <c r="BY6" s="5" t="s">
        <v>24</v>
      </c>
      <c r="BZ6" s="1015"/>
      <c r="CA6" s="5" t="s">
        <v>78</v>
      </c>
      <c r="CB6" s="5" t="s">
        <v>24</v>
      </c>
      <c r="CC6" s="1015"/>
      <c r="CD6" s="5" t="s">
        <v>34</v>
      </c>
      <c r="CE6" s="5" t="s">
        <v>24</v>
      </c>
      <c r="CF6" s="1015"/>
      <c r="CG6" s="5" t="s">
        <v>24</v>
      </c>
    </row>
    <row r="7" spans="1:85" x14ac:dyDescent="0.3">
      <c r="A7" s="3" t="s">
        <v>80</v>
      </c>
      <c r="B7" s="6" t="s">
        <v>28</v>
      </c>
      <c r="C7" s="6" t="s">
        <v>28</v>
      </c>
      <c r="D7" s="6" t="s">
        <v>28</v>
      </c>
      <c r="E7" s="6" t="s">
        <v>28</v>
      </c>
      <c r="F7" s="6" t="s">
        <v>28</v>
      </c>
      <c r="G7" s="6" t="s">
        <v>28</v>
      </c>
      <c r="H7" s="6" t="s">
        <v>28</v>
      </c>
      <c r="I7" s="6" t="s">
        <v>28</v>
      </c>
      <c r="J7" s="6" t="s">
        <v>28</v>
      </c>
      <c r="K7" s="6" t="s">
        <v>28</v>
      </c>
      <c r="L7" s="6" t="s">
        <v>28</v>
      </c>
      <c r="M7" s="6" t="s">
        <v>28</v>
      </c>
      <c r="N7" s="6" t="s">
        <v>28</v>
      </c>
      <c r="O7" s="6" t="s">
        <v>28</v>
      </c>
      <c r="P7" s="6" t="s">
        <v>28</v>
      </c>
      <c r="Q7" s="6" t="s">
        <v>28</v>
      </c>
      <c r="R7" s="6" t="s">
        <v>28</v>
      </c>
      <c r="S7" s="6" t="s">
        <v>28</v>
      </c>
      <c r="T7" s="6" t="s">
        <v>28</v>
      </c>
      <c r="U7" s="6" t="s">
        <v>28</v>
      </c>
      <c r="V7" s="6" t="s">
        <v>28</v>
      </c>
      <c r="W7" s="6" t="s">
        <v>28</v>
      </c>
      <c r="X7" s="6" t="s">
        <v>28</v>
      </c>
      <c r="Y7" s="6" t="s">
        <v>28</v>
      </c>
      <c r="Z7" s="6" t="s">
        <v>28</v>
      </c>
      <c r="AA7" s="6" t="s">
        <v>28</v>
      </c>
      <c r="AB7" s="6" t="s">
        <v>28</v>
      </c>
      <c r="AC7" s="6" t="s">
        <v>28</v>
      </c>
      <c r="AD7" s="6" t="s">
        <v>28</v>
      </c>
      <c r="AE7" s="6" t="s">
        <v>28</v>
      </c>
      <c r="AF7" s="6" t="s">
        <v>28</v>
      </c>
      <c r="AG7" s="6" t="s">
        <v>28</v>
      </c>
      <c r="AH7" s="6" t="s">
        <v>28</v>
      </c>
      <c r="AI7" s="6" t="s">
        <v>28</v>
      </c>
      <c r="AJ7" s="6" t="s">
        <v>28</v>
      </c>
      <c r="AK7" s="6" t="s">
        <v>28</v>
      </c>
      <c r="AL7" s="6" t="s">
        <v>28</v>
      </c>
      <c r="AM7" s="6" t="s">
        <v>28</v>
      </c>
      <c r="AN7" s="6" t="s">
        <v>28</v>
      </c>
      <c r="AO7" s="6" t="s">
        <v>28</v>
      </c>
      <c r="AP7" s="6" t="s">
        <v>28</v>
      </c>
      <c r="AQ7" s="6" t="s">
        <v>28</v>
      </c>
      <c r="AR7" s="6" t="s">
        <v>28</v>
      </c>
      <c r="AS7" s="6" t="s">
        <v>28</v>
      </c>
      <c r="AT7" s="6" t="s">
        <v>28</v>
      </c>
      <c r="AU7" s="6" t="s">
        <v>28</v>
      </c>
      <c r="AV7" s="6" t="s">
        <v>28</v>
      </c>
      <c r="AW7" s="6" t="s">
        <v>28</v>
      </c>
      <c r="AX7" s="6" t="s">
        <v>28</v>
      </c>
      <c r="AY7" s="6" t="s">
        <v>28</v>
      </c>
      <c r="AZ7" s="6" t="s">
        <v>28</v>
      </c>
      <c r="BA7" s="6" t="s">
        <v>28</v>
      </c>
      <c r="BB7" s="6" t="s">
        <v>28</v>
      </c>
      <c r="BC7" s="6" t="s">
        <v>28</v>
      </c>
      <c r="BD7" s="6" t="s">
        <v>28</v>
      </c>
      <c r="BE7" s="6" t="s">
        <v>28</v>
      </c>
      <c r="BF7" s="6" t="s">
        <v>28</v>
      </c>
      <c r="BG7" s="6" t="s">
        <v>28</v>
      </c>
      <c r="BH7" s="6" t="s">
        <v>28</v>
      </c>
      <c r="BI7" s="6" t="s">
        <v>28</v>
      </c>
      <c r="BJ7" s="6" t="s">
        <v>28</v>
      </c>
      <c r="BK7" s="6" t="s">
        <v>28</v>
      </c>
      <c r="BL7" s="6" t="s">
        <v>28</v>
      </c>
      <c r="BM7" s="6" t="s">
        <v>28</v>
      </c>
      <c r="BN7" s="6" t="s">
        <v>28</v>
      </c>
      <c r="BO7" s="6" t="s">
        <v>28</v>
      </c>
      <c r="BP7" s="6" t="s">
        <v>28</v>
      </c>
      <c r="BQ7" s="6" t="s">
        <v>28</v>
      </c>
      <c r="BR7" s="6" t="s">
        <v>28</v>
      </c>
      <c r="BS7" s="6" t="s">
        <v>28</v>
      </c>
      <c r="BT7" s="6" t="s">
        <v>28</v>
      </c>
      <c r="BU7" s="6" t="s">
        <v>28</v>
      </c>
      <c r="BV7" s="6" t="s">
        <v>28</v>
      </c>
      <c r="BW7" s="6" t="s">
        <v>28</v>
      </c>
      <c r="BX7" s="6" t="s">
        <v>28</v>
      </c>
      <c r="BY7" s="6" t="s">
        <v>28</v>
      </c>
      <c r="BZ7" s="6" t="s">
        <v>28</v>
      </c>
      <c r="CA7" s="6" t="s">
        <v>28</v>
      </c>
      <c r="CB7" s="6" t="s">
        <v>28</v>
      </c>
      <c r="CC7" s="6" t="s">
        <v>28</v>
      </c>
      <c r="CD7" s="6" t="s">
        <v>28</v>
      </c>
      <c r="CE7" s="6" t="s">
        <v>28</v>
      </c>
      <c r="CF7" s="6" t="s">
        <v>28</v>
      </c>
      <c r="CG7" s="7" t="s">
        <v>28</v>
      </c>
    </row>
    <row r="8" spans="1:85" x14ac:dyDescent="0.3">
      <c r="A8" s="3" t="str">
        <f>CONCATENATE(B8,C8,D8,E8)</f>
        <v>ADDTotalTotalTotal</v>
      </c>
      <c r="B8" s="6" t="s">
        <v>81</v>
      </c>
      <c r="C8" s="6" t="s">
        <v>24</v>
      </c>
      <c r="D8" s="6" t="s">
        <v>24</v>
      </c>
      <c r="E8" s="6" t="s">
        <v>24</v>
      </c>
      <c r="F8" s="8">
        <v>197.22</v>
      </c>
      <c r="G8" s="8">
        <v>180.12</v>
      </c>
      <c r="H8" s="8">
        <v>89.21</v>
      </c>
      <c r="I8" s="8">
        <v>208.42</v>
      </c>
      <c r="J8" s="8">
        <v>156.76</v>
      </c>
      <c r="K8" s="6"/>
      <c r="L8" s="8">
        <v>831.73</v>
      </c>
      <c r="M8" s="8">
        <v>201</v>
      </c>
      <c r="N8" s="8">
        <v>243.12</v>
      </c>
      <c r="O8" s="8">
        <v>217.87</v>
      </c>
      <c r="P8" s="8">
        <v>123.04</v>
      </c>
      <c r="Q8" s="8">
        <v>230.54</v>
      </c>
      <c r="R8" s="8">
        <v>0</v>
      </c>
      <c r="S8" s="8">
        <v>1015.57</v>
      </c>
      <c r="T8" s="8">
        <v>203.45</v>
      </c>
      <c r="U8" s="8">
        <v>239.3</v>
      </c>
      <c r="V8" s="8">
        <v>123.11</v>
      </c>
      <c r="W8" s="8">
        <v>132.57</v>
      </c>
      <c r="X8" s="8">
        <v>76.37</v>
      </c>
      <c r="Y8" s="8">
        <v>0</v>
      </c>
      <c r="Z8" s="8">
        <v>0</v>
      </c>
      <c r="AA8" s="8">
        <v>774.8</v>
      </c>
      <c r="AB8" s="8">
        <v>288</v>
      </c>
      <c r="AC8" s="8">
        <v>202.11</v>
      </c>
      <c r="AD8" s="8">
        <v>417.05</v>
      </c>
      <c r="AE8" s="8">
        <v>447.43</v>
      </c>
      <c r="AF8" s="8">
        <v>126.3</v>
      </c>
      <c r="AG8" s="8">
        <v>0</v>
      </c>
      <c r="AH8" s="8">
        <v>1480.89</v>
      </c>
      <c r="AI8" s="8">
        <v>283.57</v>
      </c>
      <c r="AJ8" s="8">
        <v>264.45999999999998</v>
      </c>
      <c r="AK8" s="8">
        <v>338.78</v>
      </c>
      <c r="AL8" s="8">
        <v>247.99</v>
      </c>
      <c r="AM8" s="8">
        <v>169.2</v>
      </c>
      <c r="AN8" s="8">
        <v>308.89999999999998</v>
      </c>
      <c r="AO8" s="8">
        <v>0</v>
      </c>
      <c r="AP8" s="8">
        <v>1612.9</v>
      </c>
      <c r="AQ8" s="8">
        <v>102.7</v>
      </c>
      <c r="AR8" s="8">
        <v>56.51</v>
      </c>
      <c r="AS8" s="8">
        <v>22.49</v>
      </c>
      <c r="AT8" s="8">
        <v>104.12</v>
      </c>
      <c r="AU8" s="8">
        <v>0</v>
      </c>
      <c r="AV8" s="8">
        <v>285.82</v>
      </c>
      <c r="AW8" s="8">
        <v>112</v>
      </c>
      <c r="AX8" s="6"/>
      <c r="AY8" s="6"/>
      <c r="AZ8" s="8">
        <v>338</v>
      </c>
      <c r="BA8" s="6"/>
      <c r="BB8" s="8">
        <v>450</v>
      </c>
      <c r="BC8" s="8">
        <v>61.32</v>
      </c>
      <c r="BD8" s="8">
        <v>61.32</v>
      </c>
      <c r="BE8" s="8">
        <v>215</v>
      </c>
      <c r="BF8" s="8">
        <v>184.83</v>
      </c>
      <c r="BG8" s="8">
        <v>399.83</v>
      </c>
      <c r="BH8" s="8">
        <v>1.66</v>
      </c>
      <c r="BI8" s="8">
        <v>1.66</v>
      </c>
      <c r="BJ8" s="8">
        <v>85</v>
      </c>
      <c r="BK8" s="8">
        <v>85</v>
      </c>
      <c r="BL8" s="8">
        <v>6999.52</v>
      </c>
      <c r="BM8" s="8">
        <v>432.12</v>
      </c>
      <c r="BN8" s="8">
        <v>211.48</v>
      </c>
      <c r="BO8" s="8">
        <v>275.60000000000002</v>
      </c>
      <c r="BP8" s="8">
        <v>230.26</v>
      </c>
      <c r="BQ8" s="8">
        <v>0</v>
      </c>
      <c r="BR8" s="8">
        <v>1149.46</v>
      </c>
      <c r="BS8" s="8">
        <v>1149.46</v>
      </c>
      <c r="BT8" s="8">
        <v>240.52</v>
      </c>
      <c r="BU8" s="8">
        <v>240.52</v>
      </c>
      <c r="BV8" s="8">
        <v>240.52</v>
      </c>
      <c r="BW8" s="8">
        <v>424.9</v>
      </c>
      <c r="BX8" s="6"/>
      <c r="BY8" s="8">
        <v>424.9</v>
      </c>
      <c r="BZ8" s="8">
        <v>424.9</v>
      </c>
      <c r="CA8" s="8">
        <v>19</v>
      </c>
      <c r="CB8" s="8">
        <v>19</v>
      </c>
      <c r="CC8" s="8">
        <v>19</v>
      </c>
      <c r="CD8" s="8">
        <v>4.5999999999999996</v>
      </c>
      <c r="CE8" s="8">
        <v>4.5999999999999996</v>
      </c>
      <c r="CF8" s="8">
        <v>4.5999999999999996</v>
      </c>
      <c r="CG8" s="9">
        <v>8838</v>
      </c>
    </row>
    <row r="9" spans="1:85" x14ac:dyDescent="0.3">
      <c r="A9" s="3" t="str">
        <f t="shared" ref="A9:A72" si="2">CONCATENATE(B9,C9,D9,E9)</f>
        <v>ADDDiscoveryTotalTotal</v>
      </c>
      <c r="B9" s="6" t="s">
        <v>81</v>
      </c>
      <c r="C9" s="6" t="s">
        <v>82</v>
      </c>
      <c r="D9" s="6" t="s">
        <v>24</v>
      </c>
      <c r="E9" s="6" t="s">
        <v>24</v>
      </c>
      <c r="F9" s="8">
        <v>51.38</v>
      </c>
      <c r="G9" s="8">
        <v>165.62</v>
      </c>
      <c r="H9" s="8">
        <v>86.97</v>
      </c>
      <c r="I9" s="8">
        <v>181.26</v>
      </c>
      <c r="J9" s="8">
        <v>143.31</v>
      </c>
      <c r="K9" s="6"/>
      <c r="L9" s="8">
        <v>628.54</v>
      </c>
      <c r="M9" s="8">
        <v>184.49</v>
      </c>
      <c r="N9" s="8">
        <v>192.99</v>
      </c>
      <c r="O9" s="8">
        <v>199.22</v>
      </c>
      <c r="P9" s="8">
        <v>108.93</v>
      </c>
      <c r="Q9" s="8">
        <v>73.03</v>
      </c>
      <c r="R9" s="8">
        <v>0</v>
      </c>
      <c r="S9" s="8">
        <v>758.66</v>
      </c>
      <c r="T9" s="8">
        <v>193.45</v>
      </c>
      <c r="U9" s="8">
        <v>214.62</v>
      </c>
      <c r="V9" s="8">
        <v>112.46</v>
      </c>
      <c r="W9" s="8">
        <v>112.89</v>
      </c>
      <c r="X9" s="8">
        <v>74.83</v>
      </c>
      <c r="Y9" s="8">
        <v>0</v>
      </c>
      <c r="Z9" s="8">
        <v>0</v>
      </c>
      <c r="AA9" s="8">
        <v>708.25</v>
      </c>
      <c r="AB9" s="8">
        <v>137.56</v>
      </c>
      <c r="AC9" s="8">
        <v>130.22</v>
      </c>
      <c r="AD9" s="8">
        <v>176.73</v>
      </c>
      <c r="AE9" s="8">
        <v>102.9</v>
      </c>
      <c r="AF9" s="8">
        <v>124.08</v>
      </c>
      <c r="AG9" s="8">
        <v>0</v>
      </c>
      <c r="AH9" s="8">
        <v>671.49</v>
      </c>
      <c r="AI9" s="8">
        <v>60.21</v>
      </c>
      <c r="AJ9" s="8">
        <v>245.63</v>
      </c>
      <c r="AK9" s="8">
        <v>261.86</v>
      </c>
      <c r="AL9" s="8">
        <v>231.76</v>
      </c>
      <c r="AM9" s="8">
        <v>164.41</v>
      </c>
      <c r="AN9" s="8">
        <v>210.15</v>
      </c>
      <c r="AO9" s="8">
        <v>0</v>
      </c>
      <c r="AP9" s="8">
        <v>1174.02</v>
      </c>
      <c r="AQ9" s="8">
        <v>95.1</v>
      </c>
      <c r="AR9" s="6"/>
      <c r="AS9" s="8">
        <v>13.61</v>
      </c>
      <c r="AT9" s="8">
        <v>95.12</v>
      </c>
      <c r="AU9" s="8">
        <v>0</v>
      </c>
      <c r="AV9" s="8">
        <v>203.83</v>
      </c>
      <c r="AW9" s="8">
        <v>108.72</v>
      </c>
      <c r="AX9" s="6"/>
      <c r="AY9" s="6"/>
      <c r="AZ9" s="8">
        <v>325.5</v>
      </c>
      <c r="BA9" s="6"/>
      <c r="BB9" s="8">
        <v>434.22</v>
      </c>
      <c r="BC9" s="8">
        <v>52.44</v>
      </c>
      <c r="BD9" s="8">
        <v>52.44</v>
      </c>
      <c r="BE9" s="8">
        <v>210.8</v>
      </c>
      <c r="BF9" s="8">
        <v>39.32</v>
      </c>
      <c r="BG9" s="8">
        <v>250.12</v>
      </c>
      <c r="BH9" s="8">
        <v>1.66</v>
      </c>
      <c r="BI9" s="8">
        <v>1.66</v>
      </c>
      <c r="BJ9" s="6"/>
      <c r="BK9" s="6"/>
      <c r="BL9" s="8">
        <v>4883.2299999999996</v>
      </c>
      <c r="BM9" s="8">
        <v>19.12</v>
      </c>
      <c r="BN9" s="8">
        <v>201.48</v>
      </c>
      <c r="BO9" s="8">
        <v>133.6</v>
      </c>
      <c r="BP9" s="8">
        <v>152.86000000000001</v>
      </c>
      <c r="BQ9" s="8">
        <v>-11.2</v>
      </c>
      <c r="BR9" s="8">
        <v>495.86</v>
      </c>
      <c r="BS9" s="8">
        <v>495.86</v>
      </c>
      <c r="BT9" s="6"/>
      <c r="BU9" s="6"/>
      <c r="BV9" s="6"/>
      <c r="BW9" s="6"/>
      <c r="BX9" s="6"/>
      <c r="BY9" s="6"/>
      <c r="BZ9" s="6"/>
      <c r="CA9" s="6"/>
      <c r="CB9" s="6"/>
      <c r="CC9" s="6"/>
      <c r="CD9" s="6"/>
      <c r="CE9" s="6"/>
      <c r="CF9" s="6"/>
      <c r="CG9" s="9">
        <v>5379.09</v>
      </c>
    </row>
    <row r="10" spans="1:85" x14ac:dyDescent="0.3">
      <c r="A10" s="3" t="str">
        <f t="shared" si="2"/>
        <v>ADDDiscoveryAdvancing Informal STEM Learning (AISL)Total</v>
      </c>
      <c r="B10" s="6" t="s">
        <v>81</v>
      </c>
      <c r="C10" s="6" t="s">
        <v>82</v>
      </c>
      <c r="D10" s="6" t="s">
        <v>83</v>
      </c>
      <c r="E10" s="6" t="s">
        <v>24</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8">
        <v>65</v>
      </c>
      <c r="BO10" s="6"/>
      <c r="BP10" s="6"/>
      <c r="BQ10" s="6"/>
      <c r="BR10" s="8">
        <v>65</v>
      </c>
      <c r="BS10" s="8">
        <v>65</v>
      </c>
      <c r="BT10" s="6"/>
      <c r="BU10" s="6"/>
      <c r="BV10" s="6"/>
      <c r="BW10" s="6"/>
      <c r="BX10" s="6"/>
      <c r="BY10" s="6"/>
      <c r="BZ10" s="6"/>
      <c r="CA10" s="6"/>
      <c r="CB10" s="6"/>
      <c r="CC10" s="6"/>
      <c r="CD10" s="6"/>
      <c r="CE10" s="6"/>
      <c r="CF10" s="6"/>
      <c r="CG10" s="9">
        <v>65</v>
      </c>
    </row>
    <row r="11" spans="1:85" x14ac:dyDescent="0.3">
      <c r="A11" s="3" t="str">
        <f t="shared" si="2"/>
        <v>ADDDiscoveryAlliances for Graduate Education &amp; the Professoriate (AGEP)Total</v>
      </c>
      <c r="B11" s="6" t="s">
        <v>81</v>
      </c>
      <c r="C11" s="6" t="s">
        <v>82</v>
      </c>
      <c r="D11" s="6" t="s">
        <v>84</v>
      </c>
      <c r="E11" s="6" t="s">
        <v>24</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8">
        <v>8.5</v>
      </c>
      <c r="BQ11" s="6"/>
      <c r="BR11" s="8">
        <v>8.5</v>
      </c>
      <c r="BS11" s="8">
        <v>8.5</v>
      </c>
      <c r="BT11" s="6"/>
      <c r="BU11" s="6"/>
      <c r="BV11" s="6"/>
      <c r="BW11" s="6"/>
      <c r="BX11" s="6"/>
      <c r="BY11" s="6"/>
      <c r="BZ11" s="6"/>
      <c r="CA11" s="6"/>
      <c r="CB11" s="6"/>
      <c r="CC11" s="6"/>
      <c r="CD11" s="6"/>
      <c r="CE11" s="6"/>
      <c r="CF11" s="6"/>
      <c r="CG11" s="9">
        <v>8.5</v>
      </c>
    </row>
    <row r="12" spans="1:85" x14ac:dyDescent="0.3">
      <c r="A12" s="3" t="str">
        <f t="shared" si="2"/>
        <v>ADDDiscoveryArtificial Intelligence Research Institutes, NationalTotal</v>
      </c>
      <c r="B12" s="6" t="s">
        <v>81</v>
      </c>
      <c r="C12" s="6" t="s">
        <v>82</v>
      </c>
      <c r="D12" s="6" t="s">
        <v>85</v>
      </c>
      <c r="E12" s="6" t="s">
        <v>24</v>
      </c>
      <c r="F12" s="6"/>
      <c r="G12" s="6"/>
      <c r="H12" s="6"/>
      <c r="I12" s="6"/>
      <c r="J12" s="6"/>
      <c r="K12" s="6"/>
      <c r="L12" s="6"/>
      <c r="M12" s="8">
        <v>2.5</v>
      </c>
      <c r="N12" s="8">
        <v>3</v>
      </c>
      <c r="O12" s="8">
        <v>9</v>
      </c>
      <c r="P12" s="8">
        <v>9</v>
      </c>
      <c r="Q12" s="6"/>
      <c r="R12" s="6"/>
      <c r="S12" s="8">
        <v>23.5</v>
      </c>
      <c r="T12" s="8">
        <v>1.3</v>
      </c>
      <c r="U12" s="8">
        <v>3.75</v>
      </c>
      <c r="V12" s="8">
        <v>2.7</v>
      </c>
      <c r="W12" s="8">
        <v>1.3</v>
      </c>
      <c r="X12" s="6"/>
      <c r="Y12" s="6"/>
      <c r="Z12" s="6"/>
      <c r="AA12" s="8">
        <v>9.0500000000000007</v>
      </c>
      <c r="AB12" s="6"/>
      <c r="AC12" s="6"/>
      <c r="AD12" s="6"/>
      <c r="AE12" s="6"/>
      <c r="AF12" s="8">
        <v>5</v>
      </c>
      <c r="AG12" s="6"/>
      <c r="AH12" s="8">
        <v>5</v>
      </c>
      <c r="AI12" s="8">
        <v>0.3</v>
      </c>
      <c r="AJ12" s="8">
        <v>0</v>
      </c>
      <c r="AK12" s="6"/>
      <c r="AL12" s="6"/>
      <c r="AM12" s="6"/>
      <c r="AN12" s="8">
        <v>2.7</v>
      </c>
      <c r="AO12" s="6"/>
      <c r="AP12" s="8">
        <v>3</v>
      </c>
      <c r="AQ12" s="8">
        <v>0.25</v>
      </c>
      <c r="AR12" s="6"/>
      <c r="AS12" s="8">
        <v>0.76500000000000001</v>
      </c>
      <c r="AT12" s="6"/>
      <c r="AU12" s="6"/>
      <c r="AV12" s="8">
        <v>1.0149999999999999</v>
      </c>
      <c r="AW12" s="6"/>
      <c r="AX12" s="6"/>
      <c r="AY12" s="6"/>
      <c r="AZ12" s="6"/>
      <c r="BA12" s="6"/>
      <c r="BB12" s="6"/>
      <c r="BC12" s="6"/>
      <c r="BD12" s="6"/>
      <c r="BE12" s="6"/>
      <c r="BF12" s="6"/>
      <c r="BG12" s="6"/>
      <c r="BH12" s="6"/>
      <c r="BI12" s="6"/>
      <c r="BJ12" s="6"/>
      <c r="BK12" s="6"/>
      <c r="BL12" s="8">
        <v>41.564999999999998</v>
      </c>
      <c r="BM12" s="6"/>
      <c r="BN12" s="8">
        <v>7.65</v>
      </c>
      <c r="BO12" s="6"/>
      <c r="BP12" s="6"/>
      <c r="BQ12" s="6"/>
      <c r="BR12" s="8">
        <v>7.65</v>
      </c>
      <c r="BS12" s="8">
        <v>7.65</v>
      </c>
      <c r="BT12" s="6"/>
      <c r="BU12" s="6"/>
      <c r="BV12" s="6"/>
      <c r="BW12" s="6"/>
      <c r="BX12" s="6"/>
      <c r="BY12" s="6"/>
      <c r="BZ12" s="6"/>
      <c r="CA12" s="6"/>
      <c r="CB12" s="6"/>
      <c r="CC12" s="6"/>
      <c r="CD12" s="6"/>
      <c r="CE12" s="6"/>
      <c r="CF12" s="6"/>
      <c r="CG12" s="9">
        <v>49.215000000000003</v>
      </c>
    </row>
    <row r="13" spans="1:85" x14ac:dyDescent="0.3">
      <c r="A13" s="3" t="str">
        <f t="shared" si="2"/>
        <v>ADDDiscoveryBig IdeasTotal</v>
      </c>
      <c r="B13" s="6" t="s">
        <v>81</v>
      </c>
      <c r="C13" s="6" t="s">
        <v>82</v>
      </c>
      <c r="D13" s="6" t="s">
        <v>86</v>
      </c>
      <c r="E13" s="6" t="s">
        <v>24</v>
      </c>
      <c r="F13" s="6"/>
      <c r="G13" s="6"/>
      <c r="H13" s="8">
        <v>30</v>
      </c>
      <c r="I13" s="6"/>
      <c r="J13" s="6"/>
      <c r="K13" s="6"/>
      <c r="L13" s="8">
        <v>30</v>
      </c>
      <c r="M13" s="6"/>
      <c r="N13" s="8">
        <v>0</v>
      </c>
      <c r="O13" s="6"/>
      <c r="P13" s="8">
        <v>30</v>
      </c>
      <c r="Q13" s="6"/>
      <c r="R13" s="8">
        <v>0</v>
      </c>
      <c r="S13" s="8">
        <v>30</v>
      </c>
      <c r="T13" s="6"/>
      <c r="U13" s="6"/>
      <c r="V13" s="6"/>
      <c r="W13" s="8">
        <v>0</v>
      </c>
      <c r="X13" s="8">
        <v>30</v>
      </c>
      <c r="Y13" s="6"/>
      <c r="Z13" s="8">
        <v>0</v>
      </c>
      <c r="AA13" s="8">
        <v>30</v>
      </c>
      <c r="AB13" s="6"/>
      <c r="AC13" s="6"/>
      <c r="AD13" s="6"/>
      <c r="AE13" s="6"/>
      <c r="AF13" s="8">
        <v>30</v>
      </c>
      <c r="AG13" s="8">
        <v>0</v>
      </c>
      <c r="AH13" s="8">
        <v>30</v>
      </c>
      <c r="AI13" s="6"/>
      <c r="AJ13" s="8">
        <v>0</v>
      </c>
      <c r="AK13" s="6"/>
      <c r="AL13" s="6"/>
      <c r="AM13" s="8">
        <v>68</v>
      </c>
      <c r="AN13" s="6"/>
      <c r="AO13" s="8">
        <v>0</v>
      </c>
      <c r="AP13" s="8">
        <v>68</v>
      </c>
      <c r="AQ13" s="8">
        <v>0</v>
      </c>
      <c r="AR13" s="6"/>
      <c r="AS13" s="6"/>
      <c r="AT13" s="8">
        <v>0</v>
      </c>
      <c r="AU13" s="8">
        <v>0</v>
      </c>
      <c r="AV13" s="8">
        <v>0</v>
      </c>
      <c r="AW13" s="8">
        <v>0</v>
      </c>
      <c r="AX13" s="6"/>
      <c r="AY13" s="6"/>
      <c r="AZ13" s="6"/>
      <c r="BA13" s="6"/>
      <c r="BB13" s="8">
        <v>0</v>
      </c>
      <c r="BC13" s="6"/>
      <c r="BD13" s="6"/>
      <c r="BE13" s="6"/>
      <c r="BF13" s="8">
        <v>18.5</v>
      </c>
      <c r="BG13" s="8">
        <v>18.5</v>
      </c>
      <c r="BH13" s="6"/>
      <c r="BI13" s="6"/>
      <c r="BJ13" s="6"/>
      <c r="BK13" s="6"/>
      <c r="BL13" s="8">
        <v>206.5</v>
      </c>
      <c r="BM13" s="8">
        <v>0</v>
      </c>
      <c r="BN13" s="6"/>
      <c r="BO13" s="6"/>
      <c r="BP13" s="8">
        <v>23</v>
      </c>
      <c r="BQ13" s="6"/>
      <c r="BR13" s="8">
        <v>23</v>
      </c>
      <c r="BS13" s="8">
        <v>23</v>
      </c>
      <c r="BT13" s="6"/>
      <c r="BU13" s="6"/>
      <c r="BV13" s="6"/>
      <c r="BW13" s="6"/>
      <c r="BX13" s="6"/>
      <c r="BY13" s="6"/>
      <c r="BZ13" s="6"/>
      <c r="CA13" s="6"/>
      <c r="CB13" s="6"/>
      <c r="CC13" s="6"/>
      <c r="CD13" s="6"/>
      <c r="CE13" s="6"/>
      <c r="CF13" s="6"/>
      <c r="CG13" s="9">
        <v>229.5</v>
      </c>
    </row>
    <row r="14" spans="1:85" x14ac:dyDescent="0.3">
      <c r="A14" s="3" t="str">
        <f t="shared" si="2"/>
        <v>ADDDiscoveryBig IdeasGrowing Convergence Research (GCR)</v>
      </c>
      <c r="B14" s="6" t="s">
        <v>81</v>
      </c>
      <c r="C14" s="6" t="s">
        <v>82</v>
      </c>
      <c r="D14" s="6" t="s">
        <v>86</v>
      </c>
      <c r="E14" s="6" t="s">
        <v>87</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8">
        <v>18.5</v>
      </c>
      <c r="BG14" s="8">
        <v>18.5</v>
      </c>
      <c r="BH14" s="6"/>
      <c r="BI14" s="6"/>
      <c r="BJ14" s="6"/>
      <c r="BK14" s="6"/>
      <c r="BL14" s="8">
        <v>18.5</v>
      </c>
      <c r="BM14" s="6"/>
      <c r="BN14" s="6"/>
      <c r="BO14" s="6"/>
      <c r="BP14" s="6"/>
      <c r="BQ14" s="6"/>
      <c r="BR14" s="6"/>
      <c r="BS14" s="6"/>
      <c r="BT14" s="6"/>
      <c r="BU14" s="6"/>
      <c r="BV14" s="6"/>
      <c r="BW14" s="6"/>
      <c r="BX14" s="6"/>
      <c r="BY14" s="6"/>
      <c r="BZ14" s="6"/>
      <c r="CA14" s="6"/>
      <c r="CB14" s="6"/>
      <c r="CC14" s="6"/>
      <c r="CD14" s="6"/>
      <c r="CE14" s="6"/>
      <c r="CF14" s="6"/>
      <c r="CG14" s="9">
        <v>18.5</v>
      </c>
    </row>
    <row r="15" spans="1:85" x14ac:dyDescent="0.3">
      <c r="A15" s="3" t="str">
        <f t="shared" si="2"/>
        <v>ADDDiscoveryBig IdeasHarnessing the Data Revolution for 21st Century Science and Engineering (HDR)</v>
      </c>
      <c r="B15" s="6" t="s">
        <v>81</v>
      </c>
      <c r="C15" s="6" t="s">
        <v>82</v>
      </c>
      <c r="D15" s="6" t="s">
        <v>86</v>
      </c>
      <c r="E15" s="6" t="s">
        <v>88</v>
      </c>
      <c r="F15" s="6"/>
      <c r="G15" s="6"/>
      <c r="H15" s="6"/>
      <c r="I15" s="6"/>
      <c r="J15" s="6"/>
      <c r="K15" s="6"/>
      <c r="L15" s="6"/>
      <c r="M15" s="6"/>
      <c r="N15" s="6"/>
      <c r="O15" s="6"/>
      <c r="P15" s="8">
        <v>30</v>
      </c>
      <c r="Q15" s="6"/>
      <c r="R15" s="6"/>
      <c r="S15" s="8">
        <v>30</v>
      </c>
      <c r="T15" s="6"/>
      <c r="U15" s="6"/>
      <c r="V15" s="6"/>
      <c r="W15" s="6"/>
      <c r="X15" s="6"/>
      <c r="Y15" s="6"/>
      <c r="Z15" s="8">
        <v>0</v>
      </c>
      <c r="AA15" s="8">
        <v>0</v>
      </c>
      <c r="AB15" s="6"/>
      <c r="AC15" s="6"/>
      <c r="AD15" s="6"/>
      <c r="AE15" s="6"/>
      <c r="AF15" s="6"/>
      <c r="AG15" s="6"/>
      <c r="AH15" s="6"/>
      <c r="AI15" s="6"/>
      <c r="AJ15" s="6"/>
      <c r="AK15" s="6"/>
      <c r="AL15" s="6"/>
      <c r="AM15" s="6"/>
      <c r="AN15" s="6"/>
      <c r="AO15" s="6"/>
      <c r="AP15" s="6"/>
      <c r="AQ15" s="6"/>
      <c r="AR15" s="6"/>
      <c r="AS15" s="6"/>
      <c r="AT15" s="6"/>
      <c r="AU15" s="6"/>
      <c r="AV15" s="6"/>
      <c r="AW15" s="8">
        <v>0</v>
      </c>
      <c r="AX15" s="6"/>
      <c r="AY15" s="6"/>
      <c r="AZ15" s="6"/>
      <c r="BA15" s="6"/>
      <c r="BB15" s="8">
        <v>0</v>
      </c>
      <c r="BC15" s="6"/>
      <c r="BD15" s="6"/>
      <c r="BE15" s="6"/>
      <c r="BF15" s="8">
        <v>0</v>
      </c>
      <c r="BG15" s="8">
        <v>0</v>
      </c>
      <c r="BH15" s="6"/>
      <c r="BI15" s="6"/>
      <c r="BJ15" s="6"/>
      <c r="BK15" s="6"/>
      <c r="BL15" s="8">
        <v>30</v>
      </c>
      <c r="BM15" s="6"/>
      <c r="BN15" s="6"/>
      <c r="BO15" s="6"/>
      <c r="BP15" s="6"/>
      <c r="BQ15" s="6"/>
      <c r="BR15" s="6"/>
      <c r="BS15" s="6"/>
      <c r="BT15" s="6"/>
      <c r="BU15" s="6"/>
      <c r="BV15" s="6"/>
      <c r="BW15" s="6"/>
      <c r="BX15" s="6"/>
      <c r="BY15" s="6"/>
      <c r="BZ15" s="6"/>
      <c r="CA15" s="6"/>
      <c r="CB15" s="6"/>
      <c r="CC15" s="6"/>
      <c r="CD15" s="6"/>
      <c r="CE15" s="6"/>
      <c r="CF15" s="6"/>
      <c r="CG15" s="9">
        <v>30</v>
      </c>
    </row>
    <row r="16" spans="1:85" x14ac:dyDescent="0.3">
      <c r="A16" s="3" t="str">
        <f t="shared" si="2"/>
        <v>ADDDiscoveryBig IdeasNavigating the New Arctic (NNA)</v>
      </c>
      <c r="B16" s="6" t="s">
        <v>81</v>
      </c>
      <c r="C16" s="6" t="s">
        <v>82</v>
      </c>
      <c r="D16" s="6" t="s">
        <v>86</v>
      </c>
      <c r="E16" s="6" t="s">
        <v>89</v>
      </c>
      <c r="F16" s="6"/>
      <c r="G16" s="6"/>
      <c r="H16" s="6"/>
      <c r="I16" s="6"/>
      <c r="J16" s="6"/>
      <c r="K16" s="6"/>
      <c r="L16" s="6"/>
      <c r="M16" s="6"/>
      <c r="N16" s="6"/>
      <c r="O16" s="6"/>
      <c r="P16" s="6"/>
      <c r="Q16" s="6"/>
      <c r="R16" s="6"/>
      <c r="S16" s="6"/>
      <c r="T16" s="6"/>
      <c r="U16" s="6"/>
      <c r="V16" s="6"/>
      <c r="W16" s="6"/>
      <c r="X16" s="6"/>
      <c r="Y16" s="6"/>
      <c r="Z16" s="6"/>
      <c r="AA16" s="6"/>
      <c r="AB16" s="6"/>
      <c r="AC16" s="6"/>
      <c r="AD16" s="6"/>
      <c r="AE16" s="6"/>
      <c r="AF16" s="8">
        <v>30</v>
      </c>
      <c r="AG16" s="6"/>
      <c r="AH16" s="8">
        <v>30</v>
      </c>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8">
        <v>30</v>
      </c>
      <c r="BM16" s="6"/>
      <c r="BN16" s="6"/>
      <c r="BO16" s="6"/>
      <c r="BP16" s="6"/>
      <c r="BQ16" s="6"/>
      <c r="BR16" s="6"/>
      <c r="BS16" s="6"/>
      <c r="BT16" s="6"/>
      <c r="BU16" s="6"/>
      <c r="BV16" s="6"/>
      <c r="BW16" s="6"/>
      <c r="BX16" s="6"/>
      <c r="BY16" s="6"/>
      <c r="BZ16" s="6"/>
      <c r="CA16" s="6"/>
      <c r="CB16" s="6"/>
      <c r="CC16" s="6"/>
      <c r="CD16" s="6"/>
      <c r="CE16" s="6"/>
      <c r="CF16" s="6"/>
      <c r="CG16" s="9">
        <v>30</v>
      </c>
    </row>
    <row r="17" spans="1:85" x14ac:dyDescent="0.3">
      <c r="A17" s="3" t="str">
        <f t="shared" si="2"/>
        <v>ADDDiscoveryBig IdeasNSF 2026 Fund (NSF 2026)</v>
      </c>
      <c r="B17" s="6" t="s">
        <v>81</v>
      </c>
      <c r="C17" s="6" t="s">
        <v>82</v>
      </c>
      <c r="D17" s="6" t="s">
        <v>86</v>
      </c>
      <c r="E17" s="6" t="s">
        <v>90</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8">
        <v>0</v>
      </c>
      <c r="BG17" s="8">
        <v>0</v>
      </c>
      <c r="BH17" s="6"/>
      <c r="BI17" s="6"/>
      <c r="BJ17" s="6"/>
      <c r="BK17" s="6"/>
      <c r="BL17" s="8">
        <v>0</v>
      </c>
      <c r="BM17" s="6"/>
      <c r="BN17" s="6"/>
      <c r="BO17" s="6"/>
      <c r="BP17" s="6"/>
      <c r="BQ17" s="6"/>
      <c r="BR17" s="6"/>
      <c r="BS17" s="6"/>
      <c r="BT17" s="6"/>
      <c r="BU17" s="6"/>
      <c r="BV17" s="6"/>
      <c r="BW17" s="6"/>
      <c r="BX17" s="6"/>
      <c r="BY17" s="6"/>
      <c r="BZ17" s="6"/>
      <c r="CA17" s="6"/>
      <c r="CB17" s="6"/>
      <c r="CC17" s="6"/>
      <c r="CD17" s="6"/>
      <c r="CE17" s="6"/>
      <c r="CF17" s="6"/>
      <c r="CG17" s="9">
        <v>0</v>
      </c>
    </row>
    <row r="18" spans="1:85" x14ac:dyDescent="0.3">
      <c r="A18" s="3" t="str">
        <f t="shared" si="2"/>
        <v>ADDDiscoveryBig IdeasNSF INCLUDES</v>
      </c>
      <c r="B18" s="6" t="s">
        <v>81</v>
      </c>
      <c r="C18" s="6" t="s">
        <v>82</v>
      </c>
      <c r="D18" s="6" t="s">
        <v>86</v>
      </c>
      <c r="E18" s="6" t="s">
        <v>91</v>
      </c>
      <c r="F18" s="6"/>
      <c r="G18" s="6"/>
      <c r="H18" s="6"/>
      <c r="I18" s="6"/>
      <c r="J18" s="6"/>
      <c r="K18" s="6"/>
      <c r="L18" s="6"/>
      <c r="M18" s="6"/>
      <c r="N18" s="8">
        <v>0</v>
      </c>
      <c r="O18" s="6"/>
      <c r="P18" s="8">
        <v>0</v>
      </c>
      <c r="Q18" s="6"/>
      <c r="R18" s="6"/>
      <c r="S18" s="8">
        <v>0</v>
      </c>
      <c r="T18" s="6"/>
      <c r="U18" s="6"/>
      <c r="V18" s="6"/>
      <c r="W18" s="8">
        <v>0</v>
      </c>
      <c r="X18" s="6"/>
      <c r="Y18" s="6"/>
      <c r="Z18" s="6"/>
      <c r="AA18" s="8">
        <v>0</v>
      </c>
      <c r="AB18" s="6"/>
      <c r="AC18" s="6"/>
      <c r="AD18" s="6"/>
      <c r="AE18" s="6"/>
      <c r="AF18" s="8">
        <v>0</v>
      </c>
      <c r="AG18" s="6"/>
      <c r="AH18" s="8">
        <v>0</v>
      </c>
      <c r="AI18" s="6"/>
      <c r="AJ18" s="6"/>
      <c r="AK18" s="6"/>
      <c r="AL18" s="6"/>
      <c r="AM18" s="8">
        <v>0</v>
      </c>
      <c r="AN18" s="6"/>
      <c r="AO18" s="6"/>
      <c r="AP18" s="8">
        <v>0</v>
      </c>
      <c r="AQ18" s="8">
        <v>0</v>
      </c>
      <c r="AR18" s="6"/>
      <c r="AS18" s="6"/>
      <c r="AT18" s="8">
        <v>0</v>
      </c>
      <c r="AU18" s="6"/>
      <c r="AV18" s="8">
        <v>0</v>
      </c>
      <c r="AW18" s="6"/>
      <c r="AX18" s="6"/>
      <c r="AY18" s="6"/>
      <c r="AZ18" s="6"/>
      <c r="BA18" s="6"/>
      <c r="BB18" s="6"/>
      <c r="BC18" s="6"/>
      <c r="BD18" s="6"/>
      <c r="BE18" s="6"/>
      <c r="BF18" s="8">
        <v>0</v>
      </c>
      <c r="BG18" s="8">
        <v>0</v>
      </c>
      <c r="BH18" s="6"/>
      <c r="BI18" s="6"/>
      <c r="BJ18" s="6"/>
      <c r="BK18" s="6"/>
      <c r="BL18" s="8">
        <v>0</v>
      </c>
      <c r="BM18" s="8">
        <v>0</v>
      </c>
      <c r="BN18" s="6"/>
      <c r="BO18" s="6"/>
      <c r="BP18" s="8">
        <v>23</v>
      </c>
      <c r="BQ18" s="6"/>
      <c r="BR18" s="8">
        <v>23</v>
      </c>
      <c r="BS18" s="8">
        <v>23</v>
      </c>
      <c r="BT18" s="6"/>
      <c r="BU18" s="6"/>
      <c r="BV18" s="6"/>
      <c r="BW18" s="6"/>
      <c r="BX18" s="6"/>
      <c r="BY18" s="6"/>
      <c r="BZ18" s="6"/>
      <c r="CA18" s="6"/>
      <c r="CB18" s="6"/>
      <c r="CC18" s="6"/>
      <c r="CD18" s="6"/>
      <c r="CE18" s="6"/>
      <c r="CF18" s="6"/>
      <c r="CG18" s="9">
        <v>23</v>
      </c>
    </row>
    <row r="19" spans="1:85" x14ac:dyDescent="0.3">
      <c r="A19" s="3" t="str">
        <f t="shared" si="2"/>
        <v>ADDDiscoveryBig IdeasQuantum Leap Challenge Institutes</v>
      </c>
      <c r="B19" s="6" t="s">
        <v>81</v>
      </c>
      <c r="C19" s="6" t="s">
        <v>82</v>
      </c>
      <c r="D19" s="6" t="s">
        <v>86</v>
      </c>
      <c r="E19" s="6" t="s">
        <v>92</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8">
        <v>38</v>
      </c>
      <c r="AN19" s="6"/>
      <c r="AO19" s="6"/>
      <c r="AP19" s="8">
        <v>38</v>
      </c>
      <c r="AQ19" s="6"/>
      <c r="AR19" s="6"/>
      <c r="AS19" s="6"/>
      <c r="AT19" s="6"/>
      <c r="AU19" s="6"/>
      <c r="AV19" s="6"/>
      <c r="AW19" s="6"/>
      <c r="AX19" s="6"/>
      <c r="AY19" s="6"/>
      <c r="AZ19" s="6"/>
      <c r="BA19" s="6"/>
      <c r="BB19" s="6"/>
      <c r="BC19" s="6"/>
      <c r="BD19" s="6"/>
      <c r="BE19" s="6"/>
      <c r="BF19" s="6"/>
      <c r="BG19" s="6"/>
      <c r="BH19" s="6"/>
      <c r="BI19" s="6"/>
      <c r="BJ19" s="6"/>
      <c r="BK19" s="6"/>
      <c r="BL19" s="8">
        <v>38</v>
      </c>
      <c r="BM19" s="6"/>
      <c r="BN19" s="6"/>
      <c r="BO19" s="6"/>
      <c r="BP19" s="6"/>
      <c r="BQ19" s="6"/>
      <c r="BR19" s="6"/>
      <c r="BS19" s="6"/>
      <c r="BT19" s="6"/>
      <c r="BU19" s="6"/>
      <c r="BV19" s="6"/>
      <c r="BW19" s="6"/>
      <c r="BX19" s="6"/>
      <c r="BY19" s="6"/>
      <c r="BZ19" s="6"/>
      <c r="CA19" s="6"/>
      <c r="CB19" s="6"/>
      <c r="CC19" s="6"/>
      <c r="CD19" s="6"/>
      <c r="CE19" s="6"/>
      <c r="CF19" s="6"/>
      <c r="CG19" s="9">
        <v>38</v>
      </c>
    </row>
    <row r="20" spans="1:85" x14ac:dyDescent="0.3">
      <c r="A20" s="3" t="str">
        <f t="shared" si="2"/>
        <v>ADDDiscoveryBig IdeasThe Future of Work at the Human-Technology Frontier (FW-HTF)</v>
      </c>
      <c r="B20" s="6" t="s">
        <v>81</v>
      </c>
      <c r="C20" s="6" t="s">
        <v>82</v>
      </c>
      <c r="D20" s="6" t="s">
        <v>86</v>
      </c>
      <c r="E20" s="6" t="s">
        <v>93</v>
      </c>
      <c r="F20" s="6"/>
      <c r="G20" s="6"/>
      <c r="H20" s="6"/>
      <c r="I20" s="6"/>
      <c r="J20" s="6"/>
      <c r="K20" s="6"/>
      <c r="L20" s="6"/>
      <c r="M20" s="6"/>
      <c r="N20" s="6"/>
      <c r="O20" s="6"/>
      <c r="P20" s="6"/>
      <c r="Q20" s="6"/>
      <c r="R20" s="6"/>
      <c r="S20" s="6"/>
      <c r="T20" s="6"/>
      <c r="U20" s="6"/>
      <c r="V20" s="6"/>
      <c r="W20" s="6"/>
      <c r="X20" s="8">
        <v>30</v>
      </c>
      <c r="Y20" s="6"/>
      <c r="Z20" s="8">
        <v>0</v>
      </c>
      <c r="AA20" s="8">
        <v>30</v>
      </c>
      <c r="AB20" s="6"/>
      <c r="AC20" s="6"/>
      <c r="AD20" s="6"/>
      <c r="AE20" s="6"/>
      <c r="AF20" s="6"/>
      <c r="AG20" s="6"/>
      <c r="AH20" s="6"/>
      <c r="AI20" s="6"/>
      <c r="AJ20" s="6"/>
      <c r="AK20" s="6"/>
      <c r="AL20" s="6"/>
      <c r="AM20" s="6"/>
      <c r="AN20" s="6"/>
      <c r="AO20" s="6"/>
      <c r="AP20" s="6"/>
      <c r="AQ20" s="6"/>
      <c r="AR20" s="6"/>
      <c r="AS20" s="6"/>
      <c r="AT20" s="6"/>
      <c r="AU20" s="6"/>
      <c r="AV20" s="6"/>
      <c r="AW20" s="8">
        <v>0</v>
      </c>
      <c r="AX20" s="6"/>
      <c r="AY20" s="6"/>
      <c r="AZ20" s="6"/>
      <c r="BA20" s="6"/>
      <c r="BB20" s="8">
        <v>0</v>
      </c>
      <c r="BC20" s="6"/>
      <c r="BD20" s="6"/>
      <c r="BE20" s="6"/>
      <c r="BF20" s="8">
        <v>0</v>
      </c>
      <c r="BG20" s="8">
        <v>0</v>
      </c>
      <c r="BH20" s="6"/>
      <c r="BI20" s="6"/>
      <c r="BJ20" s="6"/>
      <c r="BK20" s="6"/>
      <c r="BL20" s="8">
        <v>30</v>
      </c>
      <c r="BM20" s="6"/>
      <c r="BN20" s="6"/>
      <c r="BO20" s="6"/>
      <c r="BP20" s="6"/>
      <c r="BQ20" s="6"/>
      <c r="BR20" s="6"/>
      <c r="BS20" s="6"/>
      <c r="BT20" s="6"/>
      <c r="BU20" s="6"/>
      <c r="BV20" s="6"/>
      <c r="BW20" s="6"/>
      <c r="BX20" s="6"/>
      <c r="BY20" s="6"/>
      <c r="BZ20" s="6"/>
      <c r="CA20" s="6"/>
      <c r="CB20" s="6"/>
      <c r="CC20" s="6"/>
      <c r="CD20" s="6"/>
      <c r="CE20" s="6"/>
      <c r="CF20" s="6"/>
      <c r="CG20" s="9">
        <v>30</v>
      </c>
    </row>
    <row r="21" spans="1:85" x14ac:dyDescent="0.3">
      <c r="A21" s="3" t="str">
        <f t="shared" si="2"/>
        <v>ADDDiscoveryBig IdeasThe Quantum Leap (QL)</v>
      </c>
      <c r="B21" s="6" t="s">
        <v>81</v>
      </c>
      <c r="C21" s="6" t="s">
        <v>82</v>
      </c>
      <c r="D21" s="6" t="s">
        <v>86</v>
      </c>
      <c r="E21" s="6" t="s">
        <v>94</v>
      </c>
      <c r="F21" s="6"/>
      <c r="G21" s="6"/>
      <c r="H21" s="6"/>
      <c r="I21" s="6"/>
      <c r="J21" s="6"/>
      <c r="K21" s="6"/>
      <c r="L21" s="6"/>
      <c r="M21" s="6"/>
      <c r="N21" s="6"/>
      <c r="O21" s="6"/>
      <c r="P21" s="6"/>
      <c r="Q21" s="6"/>
      <c r="R21" s="6"/>
      <c r="S21" s="6"/>
      <c r="T21" s="6"/>
      <c r="U21" s="6"/>
      <c r="V21" s="6"/>
      <c r="W21" s="6"/>
      <c r="X21" s="6"/>
      <c r="Y21" s="6"/>
      <c r="Z21" s="8">
        <v>0</v>
      </c>
      <c r="AA21" s="8">
        <v>0</v>
      </c>
      <c r="AB21" s="6"/>
      <c r="AC21" s="6"/>
      <c r="AD21" s="6"/>
      <c r="AE21" s="6"/>
      <c r="AF21" s="6"/>
      <c r="AG21" s="6"/>
      <c r="AH21" s="6"/>
      <c r="AI21" s="6"/>
      <c r="AJ21" s="8">
        <v>0</v>
      </c>
      <c r="AK21" s="6"/>
      <c r="AL21" s="6"/>
      <c r="AM21" s="8">
        <v>0</v>
      </c>
      <c r="AN21" s="6"/>
      <c r="AO21" s="6"/>
      <c r="AP21" s="8">
        <v>0</v>
      </c>
      <c r="AQ21" s="6"/>
      <c r="AR21" s="6"/>
      <c r="AS21" s="6"/>
      <c r="AT21" s="6"/>
      <c r="AU21" s="6"/>
      <c r="AV21" s="6"/>
      <c r="AW21" s="6"/>
      <c r="AX21" s="6"/>
      <c r="AY21" s="6"/>
      <c r="AZ21" s="6"/>
      <c r="BA21" s="6"/>
      <c r="BB21" s="6"/>
      <c r="BC21" s="6"/>
      <c r="BD21" s="6"/>
      <c r="BE21" s="6"/>
      <c r="BF21" s="6"/>
      <c r="BG21" s="6"/>
      <c r="BH21" s="6"/>
      <c r="BI21" s="6"/>
      <c r="BJ21" s="6"/>
      <c r="BK21" s="6"/>
      <c r="BL21" s="8">
        <v>0</v>
      </c>
      <c r="BM21" s="6"/>
      <c r="BN21" s="6"/>
      <c r="BO21" s="6"/>
      <c r="BP21" s="6"/>
      <c r="BQ21" s="6"/>
      <c r="BR21" s="6"/>
      <c r="BS21" s="6"/>
      <c r="BT21" s="6"/>
      <c r="BU21" s="6"/>
      <c r="BV21" s="6"/>
      <c r="BW21" s="6"/>
      <c r="BX21" s="6"/>
      <c r="BY21" s="6"/>
      <c r="BZ21" s="6"/>
      <c r="CA21" s="6"/>
      <c r="CB21" s="6"/>
      <c r="CC21" s="6"/>
      <c r="CD21" s="6"/>
      <c r="CE21" s="6"/>
      <c r="CF21" s="6"/>
      <c r="CG21" s="9">
        <v>0</v>
      </c>
    </row>
    <row r="22" spans="1:85" x14ac:dyDescent="0.3">
      <c r="A22" s="3" t="str">
        <f t="shared" si="2"/>
        <v>ADDDiscoveryBig IdeasUnderstanding the Rules of Life (URoL)</v>
      </c>
      <c r="B22" s="6" t="s">
        <v>81</v>
      </c>
      <c r="C22" s="6" t="s">
        <v>82</v>
      </c>
      <c r="D22" s="6" t="s">
        <v>86</v>
      </c>
      <c r="E22" s="6" t="s">
        <v>95</v>
      </c>
      <c r="F22" s="6"/>
      <c r="G22" s="6"/>
      <c r="H22" s="8">
        <v>30</v>
      </c>
      <c r="I22" s="6"/>
      <c r="J22" s="6"/>
      <c r="K22" s="6"/>
      <c r="L22" s="8">
        <v>30</v>
      </c>
      <c r="M22" s="6"/>
      <c r="N22" s="6"/>
      <c r="O22" s="6"/>
      <c r="P22" s="6"/>
      <c r="Q22" s="6"/>
      <c r="R22" s="8">
        <v>0</v>
      </c>
      <c r="S22" s="8">
        <v>0</v>
      </c>
      <c r="T22" s="6"/>
      <c r="U22" s="6"/>
      <c r="V22" s="6"/>
      <c r="W22" s="6"/>
      <c r="X22" s="6"/>
      <c r="Y22" s="6"/>
      <c r="Z22" s="8">
        <v>0</v>
      </c>
      <c r="AA22" s="8">
        <v>0</v>
      </c>
      <c r="AB22" s="6"/>
      <c r="AC22" s="6"/>
      <c r="AD22" s="6"/>
      <c r="AE22" s="6"/>
      <c r="AF22" s="6"/>
      <c r="AG22" s="8">
        <v>0</v>
      </c>
      <c r="AH22" s="8">
        <v>0</v>
      </c>
      <c r="AI22" s="6"/>
      <c r="AJ22" s="8">
        <v>0</v>
      </c>
      <c r="AK22" s="6"/>
      <c r="AL22" s="6"/>
      <c r="AM22" s="6"/>
      <c r="AN22" s="6"/>
      <c r="AO22" s="8">
        <v>0</v>
      </c>
      <c r="AP22" s="8">
        <v>0</v>
      </c>
      <c r="AQ22" s="6"/>
      <c r="AR22" s="6"/>
      <c r="AS22" s="6"/>
      <c r="AT22" s="6"/>
      <c r="AU22" s="8">
        <v>0</v>
      </c>
      <c r="AV22" s="8">
        <v>0</v>
      </c>
      <c r="AW22" s="6"/>
      <c r="AX22" s="6"/>
      <c r="AY22" s="6"/>
      <c r="AZ22" s="6"/>
      <c r="BA22" s="6"/>
      <c r="BB22" s="6"/>
      <c r="BC22" s="6"/>
      <c r="BD22" s="6"/>
      <c r="BE22" s="6"/>
      <c r="BF22" s="6"/>
      <c r="BG22" s="6"/>
      <c r="BH22" s="6"/>
      <c r="BI22" s="6"/>
      <c r="BJ22" s="6"/>
      <c r="BK22" s="6"/>
      <c r="BL22" s="8">
        <v>30</v>
      </c>
      <c r="BM22" s="6"/>
      <c r="BN22" s="6"/>
      <c r="BO22" s="6"/>
      <c r="BP22" s="6"/>
      <c r="BQ22" s="6"/>
      <c r="BR22" s="6"/>
      <c r="BS22" s="6"/>
      <c r="BT22" s="6"/>
      <c r="BU22" s="6"/>
      <c r="BV22" s="6"/>
      <c r="BW22" s="6"/>
      <c r="BX22" s="6"/>
      <c r="BY22" s="6"/>
      <c r="BZ22" s="6"/>
      <c r="CA22" s="6"/>
      <c r="CB22" s="6"/>
      <c r="CC22" s="6"/>
      <c r="CD22" s="6"/>
      <c r="CE22" s="6"/>
      <c r="CF22" s="6"/>
      <c r="CG22" s="9">
        <v>30</v>
      </c>
    </row>
    <row r="23" spans="1:85" x14ac:dyDescent="0.3">
      <c r="A23" s="3" t="str">
        <f t="shared" si="2"/>
        <v>ADDDiscoveryBig IdeasWindows on the Universe (WoU)</v>
      </c>
      <c r="B23" s="6" t="s">
        <v>81</v>
      </c>
      <c r="C23" s="6" t="s">
        <v>82</v>
      </c>
      <c r="D23" s="6" t="s">
        <v>86</v>
      </c>
      <c r="E23" s="6" t="s">
        <v>96</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8">
        <v>30</v>
      </c>
      <c r="AN23" s="6"/>
      <c r="AO23" s="6"/>
      <c r="AP23" s="8">
        <v>30</v>
      </c>
      <c r="AQ23" s="6"/>
      <c r="AR23" s="6"/>
      <c r="AS23" s="6"/>
      <c r="AT23" s="6"/>
      <c r="AU23" s="6"/>
      <c r="AV23" s="6"/>
      <c r="AW23" s="6"/>
      <c r="AX23" s="6"/>
      <c r="AY23" s="6"/>
      <c r="AZ23" s="6"/>
      <c r="BA23" s="6"/>
      <c r="BB23" s="6"/>
      <c r="BC23" s="6"/>
      <c r="BD23" s="6"/>
      <c r="BE23" s="6"/>
      <c r="BF23" s="6"/>
      <c r="BG23" s="6"/>
      <c r="BH23" s="6"/>
      <c r="BI23" s="6"/>
      <c r="BJ23" s="6"/>
      <c r="BK23" s="6"/>
      <c r="BL23" s="8">
        <v>30</v>
      </c>
      <c r="BM23" s="6"/>
      <c r="BN23" s="6"/>
      <c r="BO23" s="6"/>
      <c r="BP23" s="6"/>
      <c r="BQ23" s="6"/>
      <c r="BR23" s="6"/>
      <c r="BS23" s="6"/>
      <c r="BT23" s="6"/>
      <c r="BU23" s="6"/>
      <c r="BV23" s="6"/>
      <c r="BW23" s="6"/>
      <c r="BX23" s="6"/>
      <c r="BY23" s="6"/>
      <c r="BZ23" s="6"/>
      <c r="CA23" s="6"/>
      <c r="CB23" s="6"/>
      <c r="CC23" s="6"/>
      <c r="CD23" s="6"/>
      <c r="CE23" s="6"/>
      <c r="CF23" s="6"/>
      <c r="CG23" s="9">
        <v>30</v>
      </c>
    </row>
    <row r="24" spans="1:85" x14ac:dyDescent="0.3">
      <c r="A24" s="3" t="str">
        <f t="shared" si="2"/>
        <v>ADDDiscoveryBiology Integration Institutes (BII)Total</v>
      </c>
      <c r="B24" s="6" t="s">
        <v>81</v>
      </c>
      <c r="C24" s="6" t="s">
        <v>82</v>
      </c>
      <c r="D24" s="6" t="s">
        <v>97</v>
      </c>
      <c r="E24" s="6" t="s">
        <v>24</v>
      </c>
      <c r="F24" s="8">
        <v>17.190000000000001</v>
      </c>
      <c r="G24" s="6"/>
      <c r="H24" s="8">
        <v>10</v>
      </c>
      <c r="I24" s="6"/>
      <c r="J24" s="6"/>
      <c r="K24" s="6"/>
      <c r="L24" s="8">
        <v>27.19</v>
      </c>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8">
        <v>27.19</v>
      </c>
      <c r="BM24" s="6"/>
      <c r="BN24" s="6"/>
      <c r="BO24" s="6"/>
      <c r="BP24" s="6"/>
      <c r="BQ24" s="6"/>
      <c r="BR24" s="6"/>
      <c r="BS24" s="6"/>
      <c r="BT24" s="6"/>
      <c r="BU24" s="6"/>
      <c r="BV24" s="6"/>
      <c r="BW24" s="6"/>
      <c r="BX24" s="6"/>
      <c r="BY24" s="6"/>
      <c r="BZ24" s="6"/>
      <c r="CA24" s="6"/>
      <c r="CB24" s="6"/>
      <c r="CC24" s="6"/>
      <c r="CD24" s="6"/>
      <c r="CE24" s="6"/>
      <c r="CF24" s="6"/>
      <c r="CG24" s="9">
        <v>27.19</v>
      </c>
    </row>
    <row r="25" spans="1:85" x14ac:dyDescent="0.3">
      <c r="A25" s="3" t="str">
        <f t="shared" si="2"/>
        <v>ADDDiscoveryCAREERTotal</v>
      </c>
      <c r="B25" s="6" t="s">
        <v>81</v>
      </c>
      <c r="C25" s="6" t="s">
        <v>82</v>
      </c>
      <c r="D25" s="6" t="s">
        <v>98</v>
      </c>
      <c r="E25" s="6" t="s">
        <v>24</v>
      </c>
      <c r="F25" s="8">
        <v>4.37</v>
      </c>
      <c r="G25" s="8">
        <v>15.48</v>
      </c>
      <c r="H25" s="6"/>
      <c r="I25" s="8">
        <v>12.48</v>
      </c>
      <c r="J25" s="8">
        <v>14.95</v>
      </c>
      <c r="K25" s="6"/>
      <c r="L25" s="8">
        <v>47.28</v>
      </c>
      <c r="M25" s="8">
        <v>16.5</v>
      </c>
      <c r="N25" s="8">
        <v>11.5</v>
      </c>
      <c r="O25" s="8">
        <v>21</v>
      </c>
      <c r="P25" s="6"/>
      <c r="Q25" s="8">
        <v>1.25</v>
      </c>
      <c r="R25" s="6"/>
      <c r="S25" s="8">
        <v>50.25</v>
      </c>
      <c r="T25" s="8">
        <v>38.5</v>
      </c>
      <c r="U25" s="8">
        <v>37</v>
      </c>
      <c r="V25" s="8">
        <v>25.5</v>
      </c>
      <c r="W25" s="8">
        <v>2.2000000000000002</v>
      </c>
      <c r="X25" s="6"/>
      <c r="Y25" s="6"/>
      <c r="Z25" s="6"/>
      <c r="AA25" s="8">
        <v>103.2</v>
      </c>
      <c r="AB25" s="8">
        <v>5</v>
      </c>
      <c r="AC25" s="8">
        <v>7.5</v>
      </c>
      <c r="AD25" s="8">
        <v>2</v>
      </c>
      <c r="AE25" s="8">
        <v>2.13</v>
      </c>
      <c r="AF25" s="8">
        <v>0</v>
      </c>
      <c r="AG25" s="6"/>
      <c r="AH25" s="8">
        <v>16.63</v>
      </c>
      <c r="AI25" s="8">
        <v>4.8099999999999996</v>
      </c>
      <c r="AJ25" s="8">
        <v>26</v>
      </c>
      <c r="AK25" s="8">
        <v>25</v>
      </c>
      <c r="AL25" s="8">
        <v>16</v>
      </c>
      <c r="AM25" s="8">
        <v>0</v>
      </c>
      <c r="AN25" s="8">
        <v>7.3</v>
      </c>
      <c r="AO25" s="6"/>
      <c r="AP25" s="8">
        <v>79.11</v>
      </c>
      <c r="AQ25" s="8">
        <v>5</v>
      </c>
      <c r="AR25" s="6"/>
      <c r="AS25" s="6"/>
      <c r="AT25" s="8">
        <v>5</v>
      </c>
      <c r="AU25" s="6"/>
      <c r="AV25" s="8">
        <v>10</v>
      </c>
      <c r="AW25" s="6"/>
      <c r="AX25" s="6"/>
      <c r="AY25" s="6"/>
      <c r="AZ25" s="6"/>
      <c r="BA25" s="6"/>
      <c r="BB25" s="6"/>
      <c r="BC25" s="6"/>
      <c r="BD25" s="6"/>
      <c r="BE25" s="6"/>
      <c r="BF25" s="6"/>
      <c r="BG25" s="6"/>
      <c r="BH25" s="6"/>
      <c r="BI25" s="6"/>
      <c r="BJ25" s="6"/>
      <c r="BK25" s="6"/>
      <c r="BL25" s="8">
        <v>306.47000000000003</v>
      </c>
      <c r="BM25" s="6"/>
      <c r="BN25" s="6"/>
      <c r="BO25" s="6"/>
      <c r="BP25" s="6"/>
      <c r="BQ25" s="6"/>
      <c r="BR25" s="6"/>
      <c r="BS25" s="6"/>
      <c r="BT25" s="6"/>
      <c r="BU25" s="6"/>
      <c r="BV25" s="6"/>
      <c r="BW25" s="6"/>
      <c r="BX25" s="6"/>
      <c r="BY25" s="6"/>
      <c r="BZ25" s="6"/>
      <c r="CA25" s="6"/>
      <c r="CB25" s="6"/>
      <c r="CC25" s="6"/>
      <c r="CD25" s="6"/>
      <c r="CE25" s="6"/>
      <c r="CF25" s="6"/>
      <c r="CG25" s="9">
        <v>306.47000000000003</v>
      </c>
    </row>
    <row r="26" spans="1:85" x14ac:dyDescent="0.3">
      <c r="A26" s="3" t="str">
        <f t="shared" si="2"/>
        <v>ADDDiscoveryCenters for Analysis &amp; SynthesisTotal</v>
      </c>
      <c r="B26" s="6" t="s">
        <v>81</v>
      </c>
      <c r="C26" s="6" t="s">
        <v>82</v>
      </c>
      <c r="D26" s="6" t="s">
        <v>99</v>
      </c>
      <c r="E26" s="6" t="s">
        <v>24</v>
      </c>
      <c r="F26" s="8">
        <v>1.5</v>
      </c>
      <c r="G26" s="6"/>
      <c r="H26" s="6"/>
      <c r="I26" s="8">
        <v>0</v>
      </c>
      <c r="J26" s="6"/>
      <c r="K26" s="6"/>
      <c r="L26" s="8">
        <v>1.5</v>
      </c>
      <c r="M26" s="6"/>
      <c r="N26" s="6"/>
      <c r="O26" s="6"/>
      <c r="P26" s="6"/>
      <c r="Q26" s="6"/>
      <c r="R26" s="6"/>
      <c r="S26" s="6"/>
      <c r="T26" s="6"/>
      <c r="U26" s="6"/>
      <c r="V26" s="6"/>
      <c r="W26" s="6"/>
      <c r="X26" s="6"/>
      <c r="Y26" s="6"/>
      <c r="Z26" s="6"/>
      <c r="AA26" s="6"/>
      <c r="AB26" s="6"/>
      <c r="AC26" s="6"/>
      <c r="AD26" s="6"/>
      <c r="AE26" s="6"/>
      <c r="AF26" s="6"/>
      <c r="AG26" s="6"/>
      <c r="AH26" s="6"/>
      <c r="AI26" s="6"/>
      <c r="AJ26" s="6"/>
      <c r="AK26" s="6"/>
      <c r="AL26" s="8">
        <v>0</v>
      </c>
      <c r="AM26" s="6"/>
      <c r="AN26" s="6"/>
      <c r="AO26" s="6"/>
      <c r="AP26" s="8">
        <v>0</v>
      </c>
      <c r="AQ26" s="6"/>
      <c r="AR26" s="6"/>
      <c r="AS26" s="6"/>
      <c r="AT26" s="6"/>
      <c r="AU26" s="6"/>
      <c r="AV26" s="6"/>
      <c r="AW26" s="6"/>
      <c r="AX26" s="6"/>
      <c r="AY26" s="6"/>
      <c r="AZ26" s="6"/>
      <c r="BA26" s="6"/>
      <c r="BB26" s="6"/>
      <c r="BC26" s="6"/>
      <c r="BD26" s="6"/>
      <c r="BE26" s="6"/>
      <c r="BF26" s="6"/>
      <c r="BG26" s="6"/>
      <c r="BH26" s="6"/>
      <c r="BI26" s="6"/>
      <c r="BJ26" s="6"/>
      <c r="BK26" s="6"/>
      <c r="BL26" s="8">
        <v>1.5</v>
      </c>
      <c r="BM26" s="6"/>
      <c r="BN26" s="6"/>
      <c r="BO26" s="6"/>
      <c r="BP26" s="6"/>
      <c r="BQ26" s="6"/>
      <c r="BR26" s="6"/>
      <c r="BS26" s="6"/>
      <c r="BT26" s="6"/>
      <c r="BU26" s="6"/>
      <c r="BV26" s="6"/>
      <c r="BW26" s="6"/>
      <c r="BX26" s="6"/>
      <c r="BY26" s="6"/>
      <c r="BZ26" s="6"/>
      <c r="CA26" s="6"/>
      <c r="CB26" s="6"/>
      <c r="CC26" s="6"/>
      <c r="CD26" s="6"/>
      <c r="CE26" s="6"/>
      <c r="CF26" s="6"/>
      <c r="CG26" s="9">
        <v>1.5</v>
      </c>
    </row>
    <row r="27" spans="1:85" x14ac:dyDescent="0.3">
      <c r="A27" s="3" t="str">
        <f t="shared" si="2"/>
        <v>ADDDiscoveryCenters for Chemical Innovation (CCI)Total</v>
      </c>
      <c r="B27" s="6" t="s">
        <v>81</v>
      </c>
      <c r="C27" s="6" t="s">
        <v>82</v>
      </c>
      <c r="D27" s="6" t="s">
        <v>100</v>
      </c>
      <c r="E27" s="6" t="s">
        <v>24</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8">
        <v>27.7</v>
      </c>
      <c r="AK27" s="6"/>
      <c r="AL27" s="6"/>
      <c r="AM27" s="8">
        <v>0</v>
      </c>
      <c r="AN27" s="6"/>
      <c r="AO27" s="6"/>
      <c r="AP27" s="8">
        <v>27.7</v>
      </c>
      <c r="AQ27" s="6"/>
      <c r="AR27" s="6"/>
      <c r="AS27" s="6"/>
      <c r="AT27" s="6"/>
      <c r="AU27" s="6"/>
      <c r="AV27" s="6"/>
      <c r="AW27" s="6"/>
      <c r="AX27" s="6"/>
      <c r="AY27" s="6"/>
      <c r="AZ27" s="6"/>
      <c r="BA27" s="6"/>
      <c r="BB27" s="6"/>
      <c r="BC27" s="6"/>
      <c r="BD27" s="6"/>
      <c r="BE27" s="6"/>
      <c r="BF27" s="6"/>
      <c r="BG27" s="6"/>
      <c r="BH27" s="6"/>
      <c r="BI27" s="6"/>
      <c r="BJ27" s="6"/>
      <c r="BK27" s="6"/>
      <c r="BL27" s="8">
        <v>27.7</v>
      </c>
      <c r="BM27" s="6"/>
      <c r="BN27" s="6"/>
      <c r="BO27" s="6"/>
      <c r="BP27" s="6"/>
      <c r="BQ27" s="6"/>
      <c r="BR27" s="6"/>
      <c r="BS27" s="6"/>
      <c r="BT27" s="6"/>
      <c r="BU27" s="6"/>
      <c r="BV27" s="6"/>
      <c r="BW27" s="6"/>
      <c r="BX27" s="6"/>
      <c r="BY27" s="6"/>
      <c r="BZ27" s="6"/>
      <c r="CA27" s="6"/>
      <c r="CB27" s="6"/>
      <c r="CC27" s="6"/>
      <c r="CD27" s="6"/>
      <c r="CE27" s="6"/>
      <c r="CF27" s="6"/>
      <c r="CG27" s="9">
        <v>27.7</v>
      </c>
    </row>
    <row r="28" spans="1:85" x14ac:dyDescent="0.3">
      <c r="A28" s="3" t="str">
        <f t="shared" si="2"/>
        <v>ADDDiscoveryCenters of Research Excellence in Science &amp; Technology (CREST)Total</v>
      </c>
      <c r="B28" s="6" t="s">
        <v>81</v>
      </c>
      <c r="C28" s="6" t="s">
        <v>82</v>
      </c>
      <c r="D28" s="6" t="s">
        <v>101</v>
      </c>
      <c r="E28" s="6" t="s">
        <v>24</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8">
        <v>26</v>
      </c>
      <c r="BQ28" s="6"/>
      <c r="BR28" s="8">
        <v>26</v>
      </c>
      <c r="BS28" s="8">
        <v>26</v>
      </c>
      <c r="BT28" s="6"/>
      <c r="BU28" s="6"/>
      <c r="BV28" s="6"/>
      <c r="BW28" s="6"/>
      <c r="BX28" s="6"/>
      <c r="BY28" s="6"/>
      <c r="BZ28" s="6"/>
      <c r="CA28" s="6"/>
      <c r="CB28" s="6"/>
      <c r="CC28" s="6"/>
      <c r="CD28" s="6"/>
      <c r="CE28" s="6"/>
      <c r="CF28" s="6"/>
      <c r="CG28" s="9">
        <v>26</v>
      </c>
    </row>
    <row r="29" spans="1:85" x14ac:dyDescent="0.3">
      <c r="A29" s="3" t="str">
        <f t="shared" si="2"/>
        <v>ADDDiscoveryConvergence Accelerator ResearchTotal</v>
      </c>
      <c r="B29" s="6" t="s">
        <v>81</v>
      </c>
      <c r="C29" s="6" t="s">
        <v>82</v>
      </c>
      <c r="D29" s="6" t="s">
        <v>102</v>
      </c>
      <c r="E29" s="6" t="s">
        <v>24</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8">
        <v>70</v>
      </c>
      <c r="AX29" s="6"/>
      <c r="AY29" s="6"/>
      <c r="AZ29" s="6"/>
      <c r="BA29" s="6"/>
      <c r="BB29" s="8">
        <v>70</v>
      </c>
      <c r="BC29" s="6"/>
      <c r="BD29" s="6"/>
      <c r="BE29" s="6"/>
      <c r="BF29" s="6"/>
      <c r="BG29" s="6"/>
      <c r="BH29" s="6"/>
      <c r="BI29" s="6"/>
      <c r="BJ29" s="6"/>
      <c r="BK29" s="6"/>
      <c r="BL29" s="8">
        <v>70</v>
      </c>
      <c r="BM29" s="6"/>
      <c r="BN29" s="6"/>
      <c r="BO29" s="6"/>
      <c r="BP29" s="6"/>
      <c r="BQ29" s="6"/>
      <c r="BR29" s="6"/>
      <c r="BS29" s="6"/>
      <c r="BT29" s="6"/>
      <c r="BU29" s="6"/>
      <c r="BV29" s="6"/>
      <c r="BW29" s="6"/>
      <c r="BX29" s="6"/>
      <c r="BY29" s="6"/>
      <c r="BZ29" s="6"/>
      <c r="CA29" s="6"/>
      <c r="CB29" s="6"/>
      <c r="CC29" s="6"/>
      <c r="CD29" s="6"/>
      <c r="CE29" s="6"/>
      <c r="CF29" s="6"/>
      <c r="CG29" s="9">
        <v>70</v>
      </c>
    </row>
    <row r="30" spans="1:85" x14ac:dyDescent="0.3">
      <c r="A30" s="3" t="str">
        <f t="shared" si="2"/>
        <v>ADDDiscoveryDisciplinary &amp; Interdisciplinary ResearchTotal</v>
      </c>
      <c r="B30" s="6" t="s">
        <v>81</v>
      </c>
      <c r="C30" s="6" t="s">
        <v>82</v>
      </c>
      <c r="D30" s="6" t="s">
        <v>103</v>
      </c>
      <c r="E30" s="6" t="s">
        <v>24</v>
      </c>
      <c r="F30" s="8">
        <v>10</v>
      </c>
      <c r="G30" s="8">
        <v>128.24</v>
      </c>
      <c r="H30" s="8">
        <v>46.88</v>
      </c>
      <c r="I30" s="8">
        <v>168.78</v>
      </c>
      <c r="J30" s="8">
        <v>128.36000000000001</v>
      </c>
      <c r="K30" s="6"/>
      <c r="L30" s="8">
        <v>482.26</v>
      </c>
      <c r="M30" s="8">
        <v>163.49</v>
      </c>
      <c r="N30" s="8">
        <v>175.49</v>
      </c>
      <c r="O30" s="8">
        <v>168.56</v>
      </c>
      <c r="P30" s="8">
        <v>61.27</v>
      </c>
      <c r="Q30" s="8">
        <v>71.78</v>
      </c>
      <c r="R30" s="6"/>
      <c r="S30" s="8">
        <v>640.59</v>
      </c>
      <c r="T30" s="8">
        <v>148.65</v>
      </c>
      <c r="U30" s="8">
        <v>168.87</v>
      </c>
      <c r="V30" s="8">
        <v>84.26</v>
      </c>
      <c r="W30" s="8">
        <v>22.99</v>
      </c>
      <c r="X30" s="8">
        <v>44.83</v>
      </c>
      <c r="Y30" s="8">
        <v>0</v>
      </c>
      <c r="Z30" s="6"/>
      <c r="AA30" s="8">
        <v>469.6</v>
      </c>
      <c r="AB30" s="8">
        <v>127.56</v>
      </c>
      <c r="AC30" s="8">
        <v>122.72</v>
      </c>
      <c r="AD30" s="8">
        <v>162.97999999999999</v>
      </c>
      <c r="AE30" s="8">
        <v>92.39</v>
      </c>
      <c r="AF30" s="8">
        <v>89.08</v>
      </c>
      <c r="AG30" s="6"/>
      <c r="AH30" s="8">
        <v>594.73</v>
      </c>
      <c r="AI30" s="8">
        <v>55.1</v>
      </c>
      <c r="AJ30" s="8">
        <v>191.93</v>
      </c>
      <c r="AK30" s="8">
        <v>166.33</v>
      </c>
      <c r="AL30" s="8">
        <v>215.76</v>
      </c>
      <c r="AM30" s="8">
        <v>91.41</v>
      </c>
      <c r="AN30" s="8">
        <v>195.15</v>
      </c>
      <c r="AO30" s="6"/>
      <c r="AP30" s="8">
        <v>915.68</v>
      </c>
      <c r="AQ30" s="8">
        <v>89.59</v>
      </c>
      <c r="AR30" s="6"/>
      <c r="AS30" s="8">
        <v>12.845000000000001</v>
      </c>
      <c r="AT30" s="8">
        <v>90.12</v>
      </c>
      <c r="AU30" s="6"/>
      <c r="AV30" s="8">
        <v>192.55500000000001</v>
      </c>
      <c r="AW30" s="8">
        <v>13.72</v>
      </c>
      <c r="AX30" s="6"/>
      <c r="AY30" s="6"/>
      <c r="AZ30" s="8">
        <v>19.5</v>
      </c>
      <c r="BA30" s="6"/>
      <c r="BB30" s="8">
        <v>33.22</v>
      </c>
      <c r="BC30" s="8">
        <v>52.44</v>
      </c>
      <c r="BD30" s="8">
        <v>52.44</v>
      </c>
      <c r="BE30" s="6"/>
      <c r="BF30" s="6"/>
      <c r="BG30" s="6"/>
      <c r="BH30" s="8">
        <v>1.66</v>
      </c>
      <c r="BI30" s="8">
        <v>1.66</v>
      </c>
      <c r="BJ30" s="6"/>
      <c r="BK30" s="6"/>
      <c r="BL30" s="8">
        <v>3382.7350000000001</v>
      </c>
      <c r="BM30" s="8">
        <v>19.12</v>
      </c>
      <c r="BN30" s="8">
        <v>30.33</v>
      </c>
      <c r="BO30" s="8">
        <v>15.85</v>
      </c>
      <c r="BP30" s="8">
        <v>15.61</v>
      </c>
      <c r="BQ30" s="6"/>
      <c r="BR30" s="8">
        <v>80.91</v>
      </c>
      <c r="BS30" s="8">
        <v>80.91</v>
      </c>
      <c r="BT30" s="6"/>
      <c r="BU30" s="6"/>
      <c r="BV30" s="6"/>
      <c r="BW30" s="6"/>
      <c r="BX30" s="6"/>
      <c r="BY30" s="6"/>
      <c r="BZ30" s="6"/>
      <c r="CA30" s="6"/>
      <c r="CB30" s="6"/>
      <c r="CC30" s="6"/>
      <c r="CD30" s="6"/>
      <c r="CE30" s="6"/>
      <c r="CF30" s="6"/>
      <c r="CG30" s="9">
        <v>3463.645</v>
      </c>
    </row>
    <row r="31" spans="1:85" x14ac:dyDescent="0.3">
      <c r="A31" s="3" t="str">
        <f t="shared" si="2"/>
        <v>ADDDiscoveryDiscovery Research PreK-12 (DRK-12)Total</v>
      </c>
      <c r="B31" s="6" t="s">
        <v>81</v>
      </c>
      <c r="C31" s="6" t="s">
        <v>82</v>
      </c>
      <c r="D31" s="6" t="s">
        <v>104</v>
      </c>
      <c r="E31" s="6" t="s">
        <v>24</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8">
        <v>98.5</v>
      </c>
      <c r="BO31" s="6"/>
      <c r="BP31" s="6"/>
      <c r="BQ31" s="6"/>
      <c r="BR31" s="8">
        <v>98.5</v>
      </c>
      <c r="BS31" s="8">
        <v>98.5</v>
      </c>
      <c r="BT31" s="6"/>
      <c r="BU31" s="6"/>
      <c r="BV31" s="6"/>
      <c r="BW31" s="6"/>
      <c r="BX31" s="6"/>
      <c r="BY31" s="6"/>
      <c r="BZ31" s="6"/>
      <c r="CA31" s="6"/>
      <c r="CB31" s="6"/>
      <c r="CC31" s="6"/>
      <c r="CD31" s="6"/>
      <c r="CE31" s="6"/>
      <c r="CF31" s="6"/>
      <c r="CG31" s="9">
        <v>98.5</v>
      </c>
    </row>
    <row r="32" spans="1:85" x14ac:dyDescent="0.3">
      <c r="A32" s="3" t="str">
        <f t="shared" si="2"/>
        <v>ADDDiscoveryDiscovery Stewardship OffsetTotal</v>
      </c>
      <c r="B32" s="6" t="s">
        <v>81</v>
      </c>
      <c r="C32" s="6" t="s">
        <v>82</v>
      </c>
      <c r="D32" s="6" t="s">
        <v>105</v>
      </c>
      <c r="E32" s="6" t="s">
        <v>24</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8">
        <v>-4.2</v>
      </c>
      <c r="BF32" s="8">
        <v>-1.78</v>
      </c>
      <c r="BG32" s="8">
        <v>-5.98</v>
      </c>
      <c r="BH32" s="6"/>
      <c r="BI32" s="6"/>
      <c r="BJ32" s="6"/>
      <c r="BK32" s="6"/>
      <c r="BL32" s="8">
        <v>-5.98</v>
      </c>
      <c r="BM32" s="6"/>
      <c r="BN32" s="6"/>
      <c r="BO32" s="6"/>
      <c r="BP32" s="6"/>
      <c r="BQ32" s="8">
        <v>-11.2</v>
      </c>
      <c r="BR32" s="8">
        <v>-11.2</v>
      </c>
      <c r="BS32" s="8">
        <v>-11.2</v>
      </c>
      <c r="BT32" s="6"/>
      <c r="BU32" s="6"/>
      <c r="BV32" s="6"/>
      <c r="BW32" s="6"/>
      <c r="BX32" s="6"/>
      <c r="BY32" s="6"/>
      <c r="BZ32" s="6"/>
      <c r="CA32" s="6"/>
      <c r="CB32" s="6"/>
      <c r="CC32" s="6"/>
      <c r="CD32" s="6"/>
      <c r="CE32" s="6"/>
      <c r="CF32" s="6"/>
      <c r="CG32" s="9">
        <v>-17.18</v>
      </c>
    </row>
    <row r="33" spans="1:85" x14ac:dyDescent="0.3">
      <c r="A33" s="3" t="str">
        <f t="shared" si="2"/>
        <v>ADDDiscoveryEngineering Research Centers (ERC)Total</v>
      </c>
      <c r="B33" s="6" t="s">
        <v>81</v>
      </c>
      <c r="C33" s="6" t="s">
        <v>82</v>
      </c>
      <c r="D33" s="6" t="s">
        <v>106</v>
      </c>
      <c r="E33" s="6" t="s">
        <v>24</v>
      </c>
      <c r="F33" s="6"/>
      <c r="G33" s="6"/>
      <c r="H33" s="6"/>
      <c r="I33" s="6"/>
      <c r="J33" s="6"/>
      <c r="K33" s="6"/>
      <c r="L33" s="6"/>
      <c r="M33" s="6"/>
      <c r="N33" s="6"/>
      <c r="O33" s="6"/>
      <c r="P33" s="6"/>
      <c r="Q33" s="6"/>
      <c r="R33" s="6"/>
      <c r="S33" s="6"/>
      <c r="T33" s="6"/>
      <c r="U33" s="6"/>
      <c r="V33" s="6"/>
      <c r="W33" s="8">
        <v>68.7</v>
      </c>
      <c r="X33" s="6"/>
      <c r="Y33" s="6"/>
      <c r="Z33" s="6"/>
      <c r="AA33" s="8">
        <v>68.7</v>
      </c>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8">
        <v>68.7</v>
      </c>
      <c r="BM33" s="6"/>
      <c r="BN33" s="6"/>
      <c r="BO33" s="6"/>
      <c r="BP33" s="6"/>
      <c r="BQ33" s="6"/>
      <c r="BR33" s="6"/>
      <c r="BS33" s="6"/>
      <c r="BT33" s="6"/>
      <c r="BU33" s="6"/>
      <c r="BV33" s="6"/>
      <c r="BW33" s="6"/>
      <c r="BX33" s="6"/>
      <c r="BY33" s="6"/>
      <c r="BZ33" s="6"/>
      <c r="CA33" s="6"/>
      <c r="CB33" s="6"/>
      <c r="CC33" s="6"/>
      <c r="CD33" s="6"/>
      <c r="CE33" s="6"/>
      <c r="CF33" s="6"/>
      <c r="CG33" s="9">
        <v>68.7</v>
      </c>
    </row>
    <row r="34" spans="1:85" x14ac:dyDescent="0.3">
      <c r="A34" s="3" t="str">
        <f t="shared" si="2"/>
        <v>ADDDiscoveryEPSCoRTotal</v>
      </c>
      <c r="B34" s="6" t="s">
        <v>81</v>
      </c>
      <c r="C34" s="6" t="s">
        <v>82</v>
      </c>
      <c r="D34" s="6" t="s">
        <v>14</v>
      </c>
      <c r="E34" s="6" t="s">
        <v>24</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8">
        <v>215</v>
      </c>
      <c r="BF34" s="8">
        <v>0</v>
      </c>
      <c r="BG34" s="8">
        <v>215</v>
      </c>
      <c r="BH34" s="6"/>
      <c r="BI34" s="6"/>
      <c r="BJ34" s="6"/>
      <c r="BK34" s="6"/>
      <c r="BL34" s="8">
        <v>215</v>
      </c>
      <c r="BM34" s="6"/>
      <c r="BN34" s="6"/>
      <c r="BO34" s="6"/>
      <c r="BP34" s="6"/>
      <c r="BQ34" s="6"/>
      <c r="BR34" s="6"/>
      <c r="BS34" s="6"/>
      <c r="BT34" s="6"/>
      <c r="BU34" s="6"/>
      <c r="BV34" s="6"/>
      <c r="BW34" s="6"/>
      <c r="BX34" s="6"/>
      <c r="BY34" s="6"/>
      <c r="BZ34" s="6"/>
      <c r="CA34" s="6"/>
      <c r="CB34" s="6"/>
      <c r="CC34" s="6"/>
      <c r="CD34" s="6"/>
      <c r="CE34" s="6"/>
      <c r="CF34" s="6"/>
      <c r="CG34" s="9">
        <v>215</v>
      </c>
    </row>
    <row r="35" spans="1:85" x14ac:dyDescent="0.3">
      <c r="A35" s="3" t="str">
        <f t="shared" si="2"/>
        <v>ADDDiscoveryEPSCoREPSCoR Co-Funding</v>
      </c>
      <c r="B35" s="6" t="s">
        <v>81</v>
      </c>
      <c r="C35" s="6" t="s">
        <v>82</v>
      </c>
      <c r="D35" s="6" t="s">
        <v>14</v>
      </c>
      <c r="E35" s="6" t="s">
        <v>107</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8">
        <v>50</v>
      </c>
      <c r="BF35" s="8">
        <v>0</v>
      </c>
      <c r="BG35" s="8">
        <v>50</v>
      </c>
      <c r="BH35" s="6"/>
      <c r="BI35" s="6"/>
      <c r="BJ35" s="6"/>
      <c r="BK35" s="6"/>
      <c r="BL35" s="8">
        <v>50</v>
      </c>
      <c r="BM35" s="6"/>
      <c r="BN35" s="6"/>
      <c r="BO35" s="6"/>
      <c r="BP35" s="6"/>
      <c r="BQ35" s="6"/>
      <c r="BR35" s="6"/>
      <c r="BS35" s="6"/>
      <c r="BT35" s="6"/>
      <c r="BU35" s="6"/>
      <c r="BV35" s="6"/>
      <c r="BW35" s="6"/>
      <c r="BX35" s="6"/>
      <c r="BY35" s="6"/>
      <c r="BZ35" s="6"/>
      <c r="CA35" s="6"/>
      <c r="CB35" s="6"/>
      <c r="CC35" s="6"/>
      <c r="CD35" s="6"/>
      <c r="CE35" s="6"/>
      <c r="CF35" s="6"/>
      <c r="CG35" s="9">
        <v>50</v>
      </c>
    </row>
    <row r="36" spans="1:85" x14ac:dyDescent="0.3">
      <c r="A36" s="3" t="str">
        <f t="shared" si="2"/>
        <v>ADDDiscoveryEPSCoREPSCoR Outreach</v>
      </c>
      <c r="B36" s="6" t="s">
        <v>81</v>
      </c>
      <c r="C36" s="6" t="s">
        <v>82</v>
      </c>
      <c r="D36" s="6" t="s">
        <v>14</v>
      </c>
      <c r="E36" s="6" t="s">
        <v>108</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8">
        <v>0.35</v>
      </c>
      <c r="BF36" s="8">
        <v>0</v>
      </c>
      <c r="BG36" s="8">
        <v>0.35</v>
      </c>
      <c r="BH36" s="6"/>
      <c r="BI36" s="6"/>
      <c r="BJ36" s="6"/>
      <c r="BK36" s="6"/>
      <c r="BL36" s="8">
        <v>0.35</v>
      </c>
      <c r="BM36" s="6"/>
      <c r="BN36" s="6"/>
      <c r="BO36" s="6"/>
      <c r="BP36" s="6"/>
      <c r="BQ36" s="6"/>
      <c r="BR36" s="6"/>
      <c r="BS36" s="6"/>
      <c r="BT36" s="6"/>
      <c r="BU36" s="6"/>
      <c r="BV36" s="6"/>
      <c r="BW36" s="6"/>
      <c r="BX36" s="6"/>
      <c r="BY36" s="6"/>
      <c r="BZ36" s="6"/>
      <c r="CA36" s="6"/>
      <c r="CB36" s="6"/>
      <c r="CC36" s="6"/>
      <c r="CD36" s="6"/>
      <c r="CE36" s="6"/>
      <c r="CF36" s="6"/>
      <c r="CG36" s="9">
        <v>0.35</v>
      </c>
    </row>
    <row r="37" spans="1:85" x14ac:dyDescent="0.3">
      <c r="A37" s="3" t="str">
        <f t="shared" si="2"/>
        <v>ADDDiscoveryEPSCoREPSCoR Research Infrastructure Improvement (RII)</v>
      </c>
      <c r="B37" s="6" t="s">
        <v>81</v>
      </c>
      <c r="C37" s="6" t="s">
        <v>82</v>
      </c>
      <c r="D37" s="6" t="s">
        <v>14</v>
      </c>
      <c r="E37" s="6" t="s">
        <v>109</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8">
        <v>164.65</v>
      </c>
      <c r="BF37" s="8">
        <v>0</v>
      </c>
      <c r="BG37" s="8">
        <v>164.65</v>
      </c>
      <c r="BH37" s="6"/>
      <c r="BI37" s="6"/>
      <c r="BJ37" s="6"/>
      <c r="BK37" s="6"/>
      <c r="BL37" s="8">
        <v>164.65</v>
      </c>
      <c r="BM37" s="6"/>
      <c r="BN37" s="6"/>
      <c r="BO37" s="6"/>
      <c r="BP37" s="6"/>
      <c r="BQ37" s="6"/>
      <c r="BR37" s="6"/>
      <c r="BS37" s="6"/>
      <c r="BT37" s="6"/>
      <c r="BU37" s="6"/>
      <c r="BV37" s="6"/>
      <c r="BW37" s="6"/>
      <c r="BX37" s="6"/>
      <c r="BY37" s="6"/>
      <c r="BZ37" s="6"/>
      <c r="CA37" s="6"/>
      <c r="CB37" s="6"/>
      <c r="CC37" s="6"/>
      <c r="CD37" s="6"/>
      <c r="CE37" s="6"/>
      <c r="CF37" s="6"/>
      <c r="CG37" s="9">
        <v>164.65</v>
      </c>
    </row>
    <row r="38" spans="1:85" x14ac:dyDescent="0.3">
      <c r="A38" s="3" t="str">
        <f t="shared" si="2"/>
        <v>ADDDiscoveryHBCU Excellence in ResearchTotal</v>
      </c>
      <c r="B38" s="6" t="s">
        <v>81</v>
      </c>
      <c r="C38" s="6" t="s">
        <v>82</v>
      </c>
      <c r="D38" s="6" t="s">
        <v>110</v>
      </c>
      <c r="E38" s="6" t="s">
        <v>24</v>
      </c>
      <c r="F38" s="8">
        <v>0</v>
      </c>
      <c r="G38" s="6"/>
      <c r="H38" s="8">
        <v>0</v>
      </c>
      <c r="I38" s="6"/>
      <c r="J38" s="6"/>
      <c r="K38" s="6"/>
      <c r="L38" s="8">
        <v>0</v>
      </c>
      <c r="M38" s="8">
        <v>0</v>
      </c>
      <c r="N38" s="8">
        <v>0</v>
      </c>
      <c r="O38" s="8">
        <v>0</v>
      </c>
      <c r="P38" s="8">
        <v>0</v>
      </c>
      <c r="Q38" s="8">
        <v>0</v>
      </c>
      <c r="R38" s="6"/>
      <c r="S38" s="8">
        <v>0</v>
      </c>
      <c r="T38" s="6"/>
      <c r="U38" s="6"/>
      <c r="V38" s="6"/>
      <c r="W38" s="8">
        <v>0</v>
      </c>
      <c r="X38" s="6"/>
      <c r="Y38" s="6"/>
      <c r="Z38" s="6"/>
      <c r="AA38" s="8">
        <v>0</v>
      </c>
      <c r="AB38" s="6"/>
      <c r="AC38" s="6"/>
      <c r="AD38" s="6"/>
      <c r="AE38" s="8">
        <v>0</v>
      </c>
      <c r="AF38" s="6"/>
      <c r="AG38" s="6"/>
      <c r="AH38" s="8">
        <v>0</v>
      </c>
      <c r="AI38" s="6"/>
      <c r="AJ38" s="6"/>
      <c r="AK38" s="6"/>
      <c r="AL38" s="6"/>
      <c r="AM38" s="8">
        <v>0</v>
      </c>
      <c r="AN38" s="6"/>
      <c r="AO38" s="6"/>
      <c r="AP38" s="8">
        <v>0</v>
      </c>
      <c r="AQ38" s="6"/>
      <c r="AR38" s="6"/>
      <c r="AS38" s="8">
        <v>0</v>
      </c>
      <c r="AT38" s="6"/>
      <c r="AU38" s="6"/>
      <c r="AV38" s="8">
        <v>0</v>
      </c>
      <c r="AW38" s="6"/>
      <c r="AX38" s="6"/>
      <c r="AY38" s="6"/>
      <c r="AZ38" s="6"/>
      <c r="BA38" s="6"/>
      <c r="BB38" s="6"/>
      <c r="BC38" s="6"/>
      <c r="BD38" s="6"/>
      <c r="BE38" s="6"/>
      <c r="BF38" s="8">
        <v>22</v>
      </c>
      <c r="BG38" s="8">
        <v>22</v>
      </c>
      <c r="BH38" s="6"/>
      <c r="BI38" s="6"/>
      <c r="BJ38" s="6"/>
      <c r="BK38" s="6"/>
      <c r="BL38" s="8">
        <v>22</v>
      </c>
      <c r="BM38" s="6"/>
      <c r="BN38" s="6"/>
      <c r="BO38" s="6"/>
      <c r="BP38" s="6"/>
      <c r="BQ38" s="6"/>
      <c r="BR38" s="6"/>
      <c r="BS38" s="6"/>
      <c r="BT38" s="6"/>
      <c r="BU38" s="6"/>
      <c r="BV38" s="6"/>
      <c r="BW38" s="6"/>
      <c r="BX38" s="6"/>
      <c r="BY38" s="6"/>
      <c r="BZ38" s="6"/>
      <c r="CA38" s="6"/>
      <c r="CB38" s="6"/>
      <c r="CC38" s="6"/>
      <c r="CD38" s="6"/>
      <c r="CE38" s="6"/>
      <c r="CF38" s="6"/>
      <c r="CG38" s="9">
        <v>22</v>
      </c>
    </row>
    <row r="39" spans="1:85" x14ac:dyDescent="0.3">
      <c r="A39" s="3" t="str">
        <f t="shared" si="2"/>
        <v>ADDDiscoveryHispanic-Serving Institutions Total</v>
      </c>
      <c r="B39" s="6" t="s">
        <v>81</v>
      </c>
      <c r="C39" s="6" t="s">
        <v>82</v>
      </c>
      <c r="D39" s="6" t="s">
        <v>111</v>
      </c>
      <c r="E39" s="6" t="s">
        <v>24</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8">
        <v>24.25</v>
      </c>
      <c r="BP39" s="8">
        <v>24.25</v>
      </c>
      <c r="BQ39" s="6"/>
      <c r="BR39" s="8">
        <v>48.5</v>
      </c>
      <c r="BS39" s="8">
        <v>48.5</v>
      </c>
      <c r="BT39" s="6"/>
      <c r="BU39" s="6"/>
      <c r="BV39" s="6"/>
      <c r="BW39" s="6"/>
      <c r="BX39" s="6"/>
      <c r="BY39" s="6"/>
      <c r="BZ39" s="6"/>
      <c r="CA39" s="6"/>
      <c r="CB39" s="6"/>
      <c r="CC39" s="6"/>
      <c r="CD39" s="6"/>
      <c r="CE39" s="6"/>
      <c r="CF39" s="6"/>
      <c r="CG39" s="9">
        <v>48.5</v>
      </c>
    </row>
    <row r="40" spans="1:85" x14ac:dyDescent="0.3">
      <c r="A40" s="3" t="str">
        <f t="shared" si="2"/>
        <v>ADDDiscoveryHistorically Black Colleges &amp; Universities Undergraduate Program (HBCU-UP)Total</v>
      </c>
      <c r="B40" s="6" t="s">
        <v>81</v>
      </c>
      <c r="C40" s="6" t="s">
        <v>82</v>
      </c>
      <c r="D40" s="6" t="s">
        <v>112</v>
      </c>
      <c r="E40" s="6" t="s">
        <v>24</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8">
        <v>38</v>
      </c>
      <c r="BQ40" s="6"/>
      <c r="BR40" s="8">
        <v>38</v>
      </c>
      <c r="BS40" s="8">
        <v>38</v>
      </c>
      <c r="BT40" s="6"/>
      <c r="BU40" s="6"/>
      <c r="BV40" s="6"/>
      <c r="BW40" s="6"/>
      <c r="BX40" s="6"/>
      <c r="BY40" s="6"/>
      <c r="BZ40" s="6"/>
      <c r="CA40" s="6"/>
      <c r="CB40" s="6"/>
      <c r="CC40" s="6"/>
      <c r="CD40" s="6"/>
      <c r="CE40" s="6"/>
      <c r="CF40" s="6"/>
      <c r="CG40" s="9">
        <v>38</v>
      </c>
    </row>
    <row r="41" spans="1:85" x14ac:dyDescent="0.3">
      <c r="A41" s="3" t="str">
        <f t="shared" si="2"/>
        <v>ADDDiscoveryImproving Undergraduate STEM Education (IUSE)Total</v>
      </c>
      <c r="B41" s="6" t="s">
        <v>81</v>
      </c>
      <c r="C41" s="6" t="s">
        <v>82</v>
      </c>
      <c r="D41" s="6" t="s">
        <v>113</v>
      </c>
      <c r="E41" s="6" t="s">
        <v>24</v>
      </c>
      <c r="F41" s="8">
        <v>5</v>
      </c>
      <c r="G41" s="6"/>
      <c r="H41" s="6"/>
      <c r="I41" s="6"/>
      <c r="J41" s="6"/>
      <c r="K41" s="6"/>
      <c r="L41" s="8">
        <v>5</v>
      </c>
      <c r="M41" s="6"/>
      <c r="N41" s="8">
        <v>3</v>
      </c>
      <c r="O41" s="6"/>
      <c r="P41" s="6"/>
      <c r="Q41" s="6"/>
      <c r="R41" s="6"/>
      <c r="S41" s="8">
        <v>3</v>
      </c>
      <c r="T41" s="8">
        <v>0</v>
      </c>
      <c r="U41" s="8">
        <v>0</v>
      </c>
      <c r="V41" s="8">
        <v>0</v>
      </c>
      <c r="W41" s="8">
        <v>5</v>
      </c>
      <c r="X41" s="6"/>
      <c r="Y41" s="8">
        <v>0</v>
      </c>
      <c r="Z41" s="6"/>
      <c r="AA41" s="8">
        <v>5</v>
      </c>
      <c r="AB41" s="6"/>
      <c r="AC41" s="6"/>
      <c r="AD41" s="6"/>
      <c r="AE41" s="8">
        <v>0</v>
      </c>
      <c r="AF41" s="8">
        <v>0</v>
      </c>
      <c r="AG41" s="6"/>
      <c r="AH41" s="8">
        <v>0</v>
      </c>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8">
        <v>13</v>
      </c>
      <c r="BM41" s="6"/>
      <c r="BN41" s="6"/>
      <c r="BO41" s="8">
        <v>93.5</v>
      </c>
      <c r="BP41" s="6"/>
      <c r="BQ41" s="6"/>
      <c r="BR41" s="8">
        <v>93.5</v>
      </c>
      <c r="BS41" s="8">
        <v>93.5</v>
      </c>
      <c r="BT41" s="6"/>
      <c r="BU41" s="6"/>
      <c r="BV41" s="6"/>
      <c r="BW41" s="6"/>
      <c r="BX41" s="6"/>
      <c r="BY41" s="6"/>
      <c r="BZ41" s="6"/>
      <c r="CA41" s="6"/>
      <c r="CB41" s="6"/>
      <c r="CC41" s="6"/>
      <c r="CD41" s="6"/>
      <c r="CE41" s="6"/>
      <c r="CF41" s="6"/>
      <c r="CG41" s="9">
        <v>106.5</v>
      </c>
    </row>
    <row r="42" spans="1:85" x14ac:dyDescent="0.3">
      <c r="A42" s="3" t="str">
        <f t="shared" si="2"/>
        <v>ADDDiscoveryIndustry/University Cooperative Research Centers (I/UCRC)Total</v>
      </c>
      <c r="B42" s="6" t="s">
        <v>81</v>
      </c>
      <c r="C42" s="6" t="s">
        <v>82</v>
      </c>
      <c r="D42" s="6" t="s">
        <v>114</v>
      </c>
      <c r="E42" s="6" t="s">
        <v>24</v>
      </c>
      <c r="F42" s="6"/>
      <c r="G42" s="6"/>
      <c r="H42" s="6"/>
      <c r="I42" s="6"/>
      <c r="J42" s="6"/>
      <c r="K42" s="6"/>
      <c r="L42" s="6"/>
      <c r="M42" s="6"/>
      <c r="N42" s="6"/>
      <c r="O42" s="6"/>
      <c r="P42" s="8">
        <v>8</v>
      </c>
      <c r="Q42" s="6"/>
      <c r="R42" s="6"/>
      <c r="S42" s="8">
        <v>8</v>
      </c>
      <c r="T42" s="6"/>
      <c r="U42" s="6"/>
      <c r="V42" s="6"/>
      <c r="W42" s="8">
        <v>12.7</v>
      </c>
      <c r="X42" s="6"/>
      <c r="Y42" s="8">
        <v>0</v>
      </c>
      <c r="Z42" s="6"/>
      <c r="AA42" s="8">
        <v>12.7</v>
      </c>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8">
        <v>20.7</v>
      </c>
      <c r="BM42" s="6"/>
      <c r="BN42" s="6"/>
      <c r="BO42" s="6"/>
      <c r="BP42" s="6"/>
      <c r="BQ42" s="6"/>
      <c r="BR42" s="6"/>
      <c r="BS42" s="6"/>
      <c r="BT42" s="6"/>
      <c r="BU42" s="6"/>
      <c r="BV42" s="6"/>
      <c r="BW42" s="6"/>
      <c r="BX42" s="6"/>
      <c r="BY42" s="6"/>
      <c r="BZ42" s="6"/>
      <c r="CA42" s="6"/>
      <c r="CB42" s="6"/>
      <c r="CC42" s="6"/>
      <c r="CD42" s="6"/>
      <c r="CE42" s="6"/>
      <c r="CF42" s="6"/>
      <c r="CG42" s="9">
        <v>20.7</v>
      </c>
    </row>
    <row r="43" spans="1:85" x14ac:dyDescent="0.3">
      <c r="A43" s="3" t="str">
        <f t="shared" si="2"/>
        <v>ADDDiscoveryLong-Term Ecological Research (LTER)Total</v>
      </c>
      <c r="B43" s="6" t="s">
        <v>81</v>
      </c>
      <c r="C43" s="6" t="s">
        <v>82</v>
      </c>
      <c r="D43" s="6" t="s">
        <v>115</v>
      </c>
      <c r="E43" s="6" t="s">
        <v>24</v>
      </c>
      <c r="F43" s="6"/>
      <c r="G43" s="8">
        <v>21.9</v>
      </c>
      <c r="H43" s="6"/>
      <c r="I43" s="6"/>
      <c r="J43" s="6"/>
      <c r="K43" s="6"/>
      <c r="L43" s="8">
        <v>21.9</v>
      </c>
      <c r="M43" s="6"/>
      <c r="N43" s="6"/>
      <c r="O43" s="6"/>
      <c r="P43" s="6"/>
      <c r="Q43" s="6"/>
      <c r="R43" s="6"/>
      <c r="S43" s="6"/>
      <c r="T43" s="6"/>
      <c r="U43" s="6"/>
      <c r="V43" s="6"/>
      <c r="W43" s="6"/>
      <c r="X43" s="6"/>
      <c r="Y43" s="6"/>
      <c r="Z43" s="6"/>
      <c r="AA43" s="6"/>
      <c r="AB43" s="6"/>
      <c r="AC43" s="6"/>
      <c r="AD43" s="8">
        <v>6.75</v>
      </c>
      <c r="AE43" s="8">
        <v>3.38</v>
      </c>
      <c r="AF43" s="6"/>
      <c r="AG43" s="6"/>
      <c r="AH43" s="8">
        <v>10.130000000000001</v>
      </c>
      <c r="AI43" s="6"/>
      <c r="AJ43" s="6"/>
      <c r="AK43" s="6"/>
      <c r="AL43" s="6"/>
      <c r="AM43" s="6"/>
      <c r="AN43" s="6"/>
      <c r="AO43" s="6"/>
      <c r="AP43" s="6"/>
      <c r="AQ43" s="8">
        <v>0.26</v>
      </c>
      <c r="AR43" s="6"/>
      <c r="AS43" s="6"/>
      <c r="AT43" s="6"/>
      <c r="AU43" s="6"/>
      <c r="AV43" s="8">
        <v>0.26</v>
      </c>
      <c r="AW43" s="6"/>
      <c r="AX43" s="6"/>
      <c r="AY43" s="6"/>
      <c r="AZ43" s="6"/>
      <c r="BA43" s="6"/>
      <c r="BB43" s="6"/>
      <c r="BC43" s="6"/>
      <c r="BD43" s="6"/>
      <c r="BE43" s="6"/>
      <c r="BF43" s="6"/>
      <c r="BG43" s="6"/>
      <c r="BH43" s="6"/>
      <c r="BI43" s="6"/>
      <c r="BJ43" s="6"/>
      <c r="BK43" s="6"/>
      <c r="BL43" s="8">
        <v>32.29</v>
      </c>
      <c r="BM43" s="6"/>
      <c r="BN43" s="6"/>
      <c r="BO43" s="6"/>
      <c r="BP43" s="6"/>
      <c r="BQ43" s="6"/>
      <c r="BR43" s="6"/>
      <c r="BS43" s="6"/>
      <c r="BT43" s="6"/>
      <c r="BU43" s="6"/>
      <c r="BV43" s="6"/>
      <c r="BW43" s="6"/>
      <c r="BX43" s="6"/>
      <c r="BY43" s="6"/>
      <c r="BZ43" s="6"/>
      <c r="CA43" s="6"/>
      <c r="CB43" s="6"/>
      <c r="CC43" s="6"/>
      <c r="CD43" s="6"/>
      <c r="CE43" s="6"/>
      <c r="CF43" s="6"/>
      <c r="CG43" s="9">
        <v>32.29</v>
      </c>
    </row>
    <row r="44" spans="1:85" x14ac:dyDescent="0.3">
      <c r="A44" s="3" t="str">
        <f t="shared" si="2"/>
        <v>ADDDiscoveryMaterials CentersTotal</v>
      </c>
      <c r="B44" s="6" t="s">
        <v>81</v>
      </c>
      <c r="C44" s="6" t="s">
        <v>82</v>
      </c>
      <c r="D44" s="6" t="s">
        <v>116</v>
      </c>
      <c r="E44" s="6" t="s">
        <v>24</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8">
        <v>56.8</v>
      </c>
      <c r="AL44" s="6"/>
      <c r="AM44" s="6"/>
      <c r="AN44" s="6"/>
      <c r="AO44" s="6"/>
      <c r="AP44" s="8">
        <v>56.8</v>
      </c>
      <c r="AQ44" s="6"/>
      <c r="AR44" s="6"/>
      <c r="AS44" s="6"/>
      <c r="AT44" s="6"/>
      <c r="AU44" s="6"/>
      <c r="AV44" s="6"/>
      <c r="AW44" s="6"/>
      <c r="AX44" s="6"/>
      <c r="AY44" s="6"/>
      <c r="AZ44" s="6"/>
      <c r="BA44" s="6"/>
      <c r="BB44" s="6"/>
      <c r="BC44" s="6"/>
      <c r="BD44" s="6"/>
      <c r="BE44" s="6"/>
      <c r="BF44" s="6"/>
      <c r="BG44" s="6"/>
      <c r="BH44" s="6"/>
      <c r="BI44" s="6"/>
      <c r="BJ44" s="6"/>
      <c r="BK44" s="6"/>
      <c r="BL44" s="8">
        <v>56.8</v>
      </c>
      <c r="BM44" s="6"/>
      <c r="BN44" s="6"/>
      <c r="BO44" s="6"/>
      <c r="BP44" s="6"/>
      <c r="BQ44" s="6"/>
      <c r="BR44" s="6"/>
      <c r="BS44" s="6"/>
      <c r="BT44" s="6"/>
      <c r="BU44" s="6"/>
      <c r="BV44" s="6"/>
      <c r="BW44" s="6"/>
      <c r="BX44" s="6"/>
      <c r="BY44" s="6"/>
      <c r="BZ44" s="6"/>
      <c r="CA44" s="6"/>
      <c r="CB44" s="6"/>
      <c r="CC44" s="6"/>
      <c r="CD44" s="6"/>
      <c r="CE44" s="6"/>
      <c r="CF44" s="6"/>
      <c r="CG44" s="9">
        <v>56.8</v>
      </c>
    </row>
    <row r="45" spans="1:85" x14ac:dyDescent="0.3">
      <c r="A45" s="3" t="str">
        <f t="shared" si="2"/>
        <v>ADDDiscoveryNational Center for Wireless Spectrum Research (SII-Center)Total</v>
      </c>
      <c r="B45" s="6" t="s">
        <v>81</v>
      </c>
      <c r="C45" s="6" t="s">
        <v>82</v>
      </c>
      <c r="D45" s="6" t="s">
        <v>117</v>
      </c>
      <c r="E45" s="6" t="s">
        <v>24</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8">
        <v>5</v>
      </c>
      <c r="AN45" s="6"/>
      <c r="AO45" s="6"/>
      <c r="AP45" s="8">
        <v>5</v>
      </c>
      <c r="AQ45" s="6"/>
      <c r="AR45" s="6"/>
      <c r="AS45" s="6"/>
      <c r="AT45" s="6"/>
      <c r="AU45" s="6"/>
      <c r="AV45" s="6"/>
      <c r="AW45" s="6"/>
      <c r="AX45" s="6"/>
      <c r="AY45" s="6"/>
      <c r="AZ45" s="6"/>
      <c r="BA45" s="6"/>
      <c r="BB45" s="6"/>
      <c r="BC45" s="6"/>
      <c r="BD45" s="6"/>
      <c r="BE45" s="6"/>
      <c r="BF45" s="6"/>
      <c r="BG45" s="6"/>
      <c r="BH45" s="6"/>
      <c r="BI45" s="6"/>
      <c r="BJ45" s="6"/>
      <c r="BK45" s="6"/>
      <c r="BL45" s="8">
        <v>5</v>
      </c>
      <c r="BM45" s="6"/>
      <c r="BN45" s="6"/>
      <c r="BO45" s="6"/>
      <c r="BP45" s="6"/>
      <c r="BQ45" s="6"/>
      <c r="BR45" s="6"/>
      <c r="BS45" s="6"/>
      <c r="BT45" s="6"/>
      <c r="BU45" s="6"/>
      <c r="BV45" s="6"/>
      <c r="BW45" s="6"/>
      <c r="BX45" s="6"/>
      <c r="BY45" s="6"/>
      <c r="BZ45" s="6"/>
      <c r="CA45" s="6"/>
      <c r="CB45" s="6"/>
      <c r="CC45" s="6"/>
      <c r="CD45" s="6"/>
      <c r="CE45" s="6"/>
      <c r="CF45" s="6"/>
      <c r="CG45" s="9">
        <v>5</v>
      </c>
    </row>
    <row r="46" spans="1:85" x14ac:dyDescent="0.3">
      <c r="A46" s="3" t="str">
        <f t="shared" si="2"/>
        <v>ADDDiscoveryNational Coordinating Office for NITRD (NCO)Total</v>
      </c>
      <c r="B46" s="6" t="s">
        <v>81</v>
      </c>
      <c r="C46" s="6" t="s">
        <v>82</v>
      </c>
      <c r="D46" s="6" t="s">
        <v>118</v>
      </c>
      <c r="E46" s="6" t="s">
        <v>24</v>
      </c>
      <c r="F46" s="6"/>
      <c r="G46" s="6"/>
      <c r="H46" s="6"/>
      <c r="I46" s="6"/>
      <c r="J46" s="6"/>
      <c r="K46" s="6"/>
      <c r="L46" s="6"/>
      <c r="M46" s="6"/>
      <c r="N46" s="6"/>
      <c r="O46" s="6"/>
      <c r="P46" s="6"/>
      <c r="Q46" s="8">
        <v>0</v>
      </c>
      <c r="R46" s="6"/>
      <c r="S46" s="8">
        <v>0</v>
      </c>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8">
        <v>0</v>
      </c>
      <c r="BM46" s="6"/>
      <c r="BN46" s="6"/>
      <c r="BO46" s="6"/>
      <c r="BP46" s="6"/>
      <c r="BQ46" s="6"/>
      <c r="BR46" s="6"/>
      <c r="BS46" s="6"/>
      <c r="BT46" s="6"/>
      <c r="BU46" s="6"/>
      <c r="BV46" s="6"/>
      <c r="BW46" s="6"/>
      <c r="BX46" s="6"/>
      <c r="BY46" s="6"/>
      <c r="BZ46" s="6"/>
      <c r="CA46" s="6"/>
      <c r="CB46" s="6"/>
      <c r="CC46" s="6"/>
      <c r="CD46" s="6"/>
      <c r="CE46" s="6"/>
      <c r="CF46" s="6"/>
      <c r="CG46" s="9">
        <v>0</v>
      </c>
    </row>
    <row r="47" spans="1:85" x14ac:dyDescent="0.3">
      <c r="A47" s="3" t="str">
        <f t="shared" si="2"/>
        <v>ADDDiscoveryNational Nanotechnology Coordinating Office (NNCO)Total</v>
      </c>
      <c r="B47" s="6" t="s">
        <v>81</v>
      </c>
      <c r="C47" s="6" t="s">
        <v>82</v>
      </c>
      <c r="D47" s="6" t="s">
        <v>119</v>
      </c>
      <c r="E47" s="6" t="s">
        <v>24</v>
      </c>
      <c r="F47" s="6"/>
      <c r="G47" s="6"/>
      <c r="H47" s="8">
        <v>0.09</v>
      </c>
      <c r="I47" s="6"/>
      <c r="J47" s="6"/>
      <c r="K47" s="6"/>
      <c r="L47" s="8">
        <v>0.09</v>
      </c>
      <c r="M47" s="6"/>
      <c r="N47" s="6"/>
      <c r="O47" s="6"/>
      <c r="P47" s="6"/>
      <c r="Q47" s="6"/>
      <c r="R47" s="6"/>
      <c r="S47" s="6"/>
      <c r="T47" s="6"/>
      <c r="U47" s="6"/>
      <c r="V47" s="6"/>
      <c r="W47" s="6"/>
      <c r="X47" s="6"/>
      <c r="Y47" s="6"/>
      <c r="Z47" s="6"/>
      <c r="AA47" s="6"/>
      <c r="AB47" s="6"/>
      <c r="AC47" s="6"/>
      <c r="AD47" s="6"/>
      <c r="AE47" s="6"/>
      <c r="AF47" s="8">
        <v>0</v>
      </c>
      <c r="AG47" s="6"/>
      <c r="AH47" s="8">
        <v>0</v>
      </c>
      <c r="AI47" s="6"/>
      <c r="AJ47" s="6"/>
      <c r="AK47" s="6"/>
      <c r="AL47" s="6"/>
      <c r="AM47" s="8">
        <v>0</v>
      </c>
      <c r="AN47" s="6"/>
      <c r="AO47" s="6"/>
      <c r="AP47" s="8">
        <v>0</v>
      </c>
      <c r="AQ47" s="6"/>
      <c r="AR47" s="6"/>
      <c r="AS47" s="6"/>
      <c r="AT47" s="6"/>
      <c r="AU47" s="6"/>
      <c r="AV47" s="6"/>
      <c r="AW47" s="6"/>
      <c r="AX47" s="6"/>
      <c r="AY47" s="6"/>
      <c r="AZ47" s="6"/>
      <c r="BA47" s="6"/>
      <c r="BB47" s="6"/>
      <c r="BC47" s="8">
        <v>0</v>
      </c>
      <c r="BD47" s="8">
        <v>0</v>
      </c>
      <c r="BE47" s="6"/>
      <c r="BF47" s="6"/>
      <c r="BG47" s="6"/>
      <c r="BH47" s="6"/>
      <c r="BI47" s="6"/>
      <c r="BJ47" s="6"/>
      <c r="BK47" s="6"/>
      <c r="BL47" s="8">
        <v>0.09</v>
      </c>
      <c r="BM47" s="6"/>
      <c r="BN47" s="6"/>
      <c r="BO47" s="6"/>
      <c r="BP47" s="6"/>
      <c r="BQ47" s="6"/>
      <c r="BR47" s="6"/>
      <c r="BS47" s="6"/>
      <c r="BT47" s="6"/>
      <c r="BU47" s="6"/>
      <c r="BV47" s="6"/>
      <c r="BW47" s="6"/>
      <c r="BX47" s="6"/>
      <c r="BY47" s="6"/>
      <c r="BZ47" s="6"/>
      <c r="CA47" s="6"/>
      <c r="CB47" s="6"/>
      <c r="CC47" s="6"/>
      <c r="CD47" s="6"/>
      <c r="CE47" s="6"/>
      <c r="CF47" s="6"/>
      <c r="CG47" s="9">
        <v>0.09</v>
      </c>
    </row>
    <row r="48" spans="1:85" x14ac:dyDescent="0.3">
      <c r="A48" s="3" t="str">
        <f t="shared" si="2"/>
        <v>ADDDiscoveryNSF Innovation Corps (I-Corps)Total</v>
      </c>
      <c r="B48" s="6" t="s">
        <v>81</v>
      </c>
      <c r="C48" s="6" t="s">
        <v>82</v>
      </c>
      <c r="D48" s="6" t="s">
        <v>120</v>
      </c>
      <c r="E48" s="6" t="s">
        <v>24</v>
      </c>
      <c r="F48" s="6"/>
      <c r="G48" s="6"/>
      <c r="H48" s="8">
        <v>0</v>
      </c>
      <c r="I48" s="6"/>
      <c r="J48" s="6"/>
      <c r="K48" s="6"/>
      <c r="L48" s="8">
        <v>0</v>
      </c>
      <c r="M48" s="6"/>
      <c r="N48" s="6"/>
      <c r="O48" s="6"/>
      <c r="P48" s="8">
        <v>0</v>
      </c>
      <c r="Q48" s="6"/>
      <c r="R48" s="6"/>
      <c r="S48" s="8">
        <v>0</v>
      </c>
      <c r="T48" s="6"/>
      <c r="U48" s="6"/>
      <c r="V48" s="6"/>
      <c r="W48" s="6"/>
      <c r="X48" s="6"/>
      <c r="Y48" s="8">
        <v>0</v>
      </c>
      <c r="Z48" s="6"/>
      <c r="AA48" s="8">
        <v>0</v>
      </c>
      <c r="AB48" s="6"/>
      <c r="AC48" s="6"/>
      <c r="AD48" s="6"/>
      <c r="AE48" s="8">
        <v>0</v>
      </c>
      <c r="AF48" s="8">
        <v>0</v>
      </c>
      <c r="AG48" s="6"/>
      <c r="AH48" s="8">
        <v>0</v>
      </c>
      <c r="AI48" s="6"/>
      <c r="AJ48" s="6"/>
      <c r="AK48" s="6"/>
      <c r="AL48" s="8">
        <v>0</v>
      </c>
      <c r="AM48" s="8">
        <v>0</v>
      </c>
      <c r="AN48" s="6"/>
      <c r="AO48" s="6"/>
      <c r="AP48" s="8">
        <v>0</v>
      </c>
      <c r="AQ48" s="6"/>
      <c r="AR48" s="6"/>
      <c r="AS48" s="8">
        <v>0</v>
      </c>
      <c r="AT48" s="6"/>
      <c r="AU48" s="6"/>
      <c r="AV48" s="8">
        <v>0</v>
      </c>
      <c r="AW48" s="6"/>
      <c r="AX48" s="6"/>
      <c r="AY48" s="6"/>
      <c r="AZ48" s="8">
        <v>40</v>
      </c>
      <c r="BA48" s="6"/>
      <c r="BB48" s="8">
        <v>40</v>
      </c>
      <c r="BC48" s="6"/>
      <c r="BD48" s="6"/>
      <c r="BE48" s="6"/>
      <c r="BF48" s="6"/>
      <c r="BG48" s="6"/>
      <c r="BH48" s="6"/>
      <c r="BI48" s="6"/>
      <c r="BJ48" s="6"/>
      <c r="BK48" s="6"/>
      <c r="BL48" s="8">
        <v>40</v>
      </c>
      <c r="BM48" s="8">
        <v>0</v>
      </c>
      <c r="BN48" s="6"/>
      <c r="BO48" s="8">
        <v>0</v>
      </c>
      <c r="BP48" s="6"/>
      <c r="BQ48" s="6"/>
      <c r="BR48" s="8">
        <v>0</v>
      </c>
      <c r="BS48" s="8">
        <v>0</v>
      </c>
      <c r="BT48" s="6"/>
      <c r="BU48" s="6"/>
      <c r="BV48" s="6"/>
      <c r="BW48" s="6"/>
      <c r="BX48" s="6"/>
      <c r="BY48" s="6"/>
      <c r="BZ48" s="6"/>
      <c r="CA48" s="6"/>
      <c r="CB48" s="6"/>
      <c r="CC48" s="6"/>
      <c r="CD48" s="6"/>
      <c r="CE48" s="6"/>
      <c r="CF48" s="6"/>
      <c r="CG48" s="9">
        <v>40</v>
      </c>
    </row>
    <row r="49" spans="1:85" x14ac:dyDescent="0.3">
      <c r="A49" s="3" t="str">
        <f t="shared" si="2"/>
        <v>ADDDiscoveryNSF Regional Innovation Engines (NSF Engines)Total</v>
      </c>
      <c r="B49" s="6" t="s">
        <v>81</v>
      </c>
      <c r="C49" s="6" t="s">
        <v>82</v>
      </c>
      <c r="D49" s="6" t="s">
        <v>121</v>
      </c>
      <c r="E49" s="6" t="s">
        <v>24</v>
      </c>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8">
        <v>25</v>
      </c>
      <c r="AX49" s="6"/>
      <c r="AY49" s="6"/>
      <c r="AZ49" s="6"/>
      <c r="BA49" s="6"/>
      <c r="BB49" s="8">
        <v>25</v>
      </c>
      <c r="BC49" s="6"/>
      <c r="BD49" s="6"/>
      <c r="BE49" s="6"/>
      <c r="BF49" s="6"/>
      <c r="BG49" s="6"/>
      <c r="BH49" s="6"/>
      <c r="BI49" s="6"/>
      <c r="BJ49" s="6"/>
      <c r="BK49" s="6"/>
      <c r="BL49" s="8">
        <v>25</v>
      </c>
      <c r="BM49" s="6"/>
      <c r="BN49" s="6"/>
      <c r="BO49" s="6"/>
      <c r="BP49" s="6"/>
      <c r="BQ49" s="6"/>
      <c r="BR49" s="6"/>
      <c r="BS49" s="6"/>
      <c r="BT49" s="6"/>
      <c r="BU49" s="6"/>
      <c r="BV49" s="6"/>
      <c r="BW49" s="6"/>
      <c r="BX49" s="6"/>
      <c r="BY49" s="6"/>
      <c r="BZ49" s="6"/>
      <c r="CA49" s="6"/>
      <c r="CB49" s="6"/>
      <c r="CC49" s="6"/>
      <c r="CD49" s="6"/>
      <c r="CE49" s="6"/>
      <c r="CF49" s="6"/>
      <c r="CG49" s="9">
        <v>25</v>
      </c>
    </row>
    <row r="50" spans="1:85" x14ac:dyDescent="0.3">
      <c r="A50" s="3" t="str">
        <f t="shared" si="2"/>
        <v>ADDDiscoveryPartnerships for Innovation (PFI)Total</v>
      </c>
      <c r="B50" s="6" t="s">
        <v>81</v>
      </c>
      <c r="C50" s="6" t="s">
        <v>82</v>
      </c>
      <c r="D50" s="6" t="s">
        <v>122</v>
      </c>
      <c r="E50" s="6" t="s">
        <v>24</v>
      </c>
      <c r="F50" s="6"/>
      <c r="G50" s="6"/>
      <c r="H50" s="6"/>
      <c r="I50" s="6"/>
      <c r="J50" s="6"/>
      <c r="K50" s="6"/>
      <c r="L50" s="6"/>
      <c r="M50" s="6"/>
      <c r="N50" s="8">
        <v>0</v>
      </c>
      <c r="O50" s="6"/>
      <c r="P50" s="6"/>
      <c r="Q50" s="6"/>
      <c r="R50" s="6"/>
      <c r="S50" s="8">
        <v>0</v>
      </c>
      <c r="T50" s="6"/>
      <c r="U50" s="6"/>
      <c r="V50" s="6"/>
      <c r="W50" s="6"/>
      <c r="X50" s="6"/>
      <c r="Y50" s="8">
        <v>0</v>
      </c>
      <c r="Z50" s="6"/>
      <c r="AA50" s="8">
        <v>0</v>
      </c>
      <c r="AB50" s="6"/>
      <c r="AC50" s="6"/>
      <c r="AD50" s="6"/>
      <c r="AE50" s="6"/>
      <c r="AF50" s="6"/>
      <c r="AG50" s="6"/>
      <c r="AH50" s="6"/>
      <c r="AI50" s="6"/>
      <c r="AJ50" s="6"/>
      <c r="AK50" s="6"/>
      <c r="AL50" s="6"/>
      <c r="AM50" s="6"/>
      <c r="AN50" s="6"/>
      <c r="AO50" s="6"/>
      <c r="AP50" s="6"/>
      <c r="AQ50" s="6"/>
      <c r="AR50" s="6"/>
      <c r="AS50" s="6"/>
      <c r="AT50" s="6"/>
      <c r="AU50" s="6"/>
      <c r="AV50" s="6"/>
      <c r="AW50" s="6"/>
      <c r="AX50" s="6"/>
      <c r="AY50" s="6"/>
      <c r="AZ50" s="8">
        <v>30</v>
      </c>
      <c r="BA50" s="6"/>
      <c r="BB50" s="8">
        <v>30</v>
      </c>
      <c r="BC50" s="6"/>
      <c r="BD50" s="6"/>
      <c r="BE50" s="6"/>
      <c r="BF50" s="6"/>
      <c r="BG50" s="6"/>
      <c r="BH50" s="6"/>
      <c r="BI50" s="6"/>
      <c r="BJ50" s="6"/>
      <c r="BK50" s="6"/>
      <c r="BL50" s="8">
        <v>30</v>
      </c>
      <c r="BM50" s="6"/>
      <c r="BN50" s="6"/>
      <c r="BO50" s="6"/>
      <c r="BP50" s="6"/>
      <c r="BQ50" s="6"/>
      <c r="BR50" s="6"/>
      <c r="BS50" s="6"/>
      <c r="BT50" s="6"/>
      <c r="BU50" s="6"/>
      <c r="BV50" s="6"/>
      <c r="BW50" s="6"/>
      <c r="BX50" s="6"/>
      <c r="BY50" s="6"/>
      <c r="BZ50" s="6"/>
      <c r="CA50" s="6"/>
      <c r="CB50" s="6"/>
      <c r="CC50" s="6"/>
      <c r="CD50" s="6"/>
      <c r="CE50" s="6"/>
      <c r="CF50" s="6"/>
      <c r="CG50" s="9">
        <v>30</v>
      </c>
    </row>
    <row r="51" spans="1:85" x14ac:dyDescent="0.3">
      <c r="A51" s="3" t="str">
        <f t="shared" si="2"/>
        <v>ADDDiscoveryScience &amp; Technology CentersTotal</v>
      </c>
      <c r="B51" s="6" t="s">
        <v>81</v>
      </c>
      <c r="C51" s="6" t="s">
        <v>82</v>
      </c>
      <c r="D51" s="6" t="s">
        <v>123</v>
      </c>
      <c r="E51" s="6" t="s">
        <v>24</v>
      </c>
      <c r="F51" s="8">
        <v>13.32</v>
      </c>
      <c r="G51" s="6"/>
      <c r="H51" s="6"/>
      <c r="I51" s="6"/>
      <c r="J51" s="6"/>
      <c r="K51" s="6"/>
      <c r="L51" s="8">
        <v>13.32</v>
      </c>
      <c r="M51" s="8">
        <v>2</v>
      </c>
      <c r="N51" s="6"/>
      <c r="O51" s="8">
        <v>0.66</v>
      </c>
      <c r="P51" s="8">
        <v>0.66</v>
      </c>
      <c r="Q51" s="6"/>
      <c r="R51" s="6"/>
      <c r="S51" s="8">
        <v>3.32</v>
      </c>
      <c r="T51" s="8">
        <v>5</v>
      </c>
      <c r="U51" s="8">
        <v>5</v>
      </c>
      <c r="V51" s="8">
        <v>0</v>
      </c>
      <c r="W51" s="6"/>
      <c r="X51" s="6"/>
      <c r="Y51" s="6"/>
      <c r="Z51" s="6"/>
      <c r="AA51" s="8">
        <v>10</v>
      </c>
      <c r="AB51" s="8">
        <v>5</v>
      </c>
      <c r="AC51" s="6"/>
      <c r="AD51" s="8">
        <v>5</v>
      </c>
      <c r="AE51" s="8">
        <v>5</v>
      </c>
      <c r="AF51" s="6"/>
      <c r="AG51" s="6"/>
      <c r="AH51" s="8">
        <v>15</v>
      </c>
      <c r="AI51" s="6"/>
      <c r="AJ51" s="6"/>
      <c r="AK51" s="8">
        <v>13.73</v>
      </c>
      <c r="AL51" s="6"/>
      <c r="AM51" s="6"/>
      <c r="AN51" s="8">
        <v>5</v>
      </c>
      <c r="AO51" s="6"/>
      <c r="AP51" s="8">
        <v>18.73</v>
      </c>
      <c r="AQ51" s="6"/>
      <c r="AR51" s="6"/>
      <c r="AS51" s="6"/>
      <c r="AT51" s="6"/>
      <c r="AU51" s="6"/>
      <c r="AV51" s="6"/>
      <c r="AW51" s="6"/>
      <c r="AX51" s="6"/>
      <c r="AY51" s="6"/>
      <c r="AZ51" s="6"/>
      <c r="BA51" s="6"/>
      <c r="BB51" s="6"/>
      <c r="BC51" s="6"/>
      <c r="BD51" s="6"/>
      <c r="BE51" s="6"/>
      <c r="BF51" s="8">
        <v>0.6</v>
      </c>
      <c r="BG51" s="8">
        <v>0.6</v>
      </c>
      <c r="BH51" s="6"/>
      <c r="BI51" s="6"/>
      <c r="BJ51" s="6"/>
      <c r="BK51" s="6"/>
      <c r="BL51" s="8">
        <v>60.97</v>
      </c>
      <c r="BM51" s="6"/>
      <c r="BN51" s="6"/>
      <c r="BO51" s="6"/>
      <c r="BP51" s="6"/>
      <c r="BQ51" s="6"/>
      <c r="BR51" s="6"/>
      <c r="BS51" s="6"/>
      <c r="BT51" s="6"/>
      <c r="BU51" s="6"/>
      <c r="BV51" s="6"/>
      <c r="BW51" s="6"/>
      <c r="BX51" s="6"/>
      <c r="BY51" s="6"/>
      <c r="BZ51" s="6"/>
      <c r="CA51" s="6"/>
      <c r="CB51" s="6"/>
      <c r="CC51" s="6"/>
      <c r="CD51" s="6"/>
      <c r="CE51" s="6"/>
      <c r="CF51" s="6"/>
      <c r="CG51" s="9">
        <v>60.97</v>
      </c>
    </row>
    <row r="52" spans="1:85" x14ac:dyDescent="0.3">
      <c r="A52" s="3" t="str">
        <f t="shared" si="2"/>
        <v>ADDDiscoveryScience &amp; Technology CentersSTCs - 2010 Class</v>
      </c>
      <c r="B52" s="6" t="s">
        <v>81</v>
      </c>
      <c r="C52" s="6" t="s">
        <v>82</v>
      </c>
      <c r="D52" s="6" t="s">
        <v>123</v>
      </c>
      <c r="E52" s="6" t="s">
        <v>124</v>
      </c>
      <c r="F52" s="8">
        <v>0</v>
      </c>
      <c r="G52" s="6"/>
      <c r="H52" s="6"/>
      <c r="I52" s="6"/>
      <c r="J52" s="6"/>
      <c r="K52" s="6"/>
      <c r="L52" s="8">
        <v>0</v>
      </c>
      <c r="M52" s="8">
        <v>0</v>
      </c>
      <c r="N52" s="6"/>
      <c r="O52" s="6"/>
      <c r="P52" s="6"/>
      <c r="Q52" s="6"/>
      <c r="R52" s="6"/>
      <c r="S52" s="8">
        <v>0</v>
      </c>
      <c r="T52" s="8">
        <v>0</v>
      </c>
      <c r="U52" s="6"/>
      <c r="V52" s="8">
        <v>0</v>
      </c>
      <c r="W52" s="6"/>
      <c r="X52" s="6"/>
      <c r="Y52" s="6"/>
      <c r="Z52" s="6"/>
      <c r="AA52" s="8">
        <v>0</v>
      </c>
      <c r="AB52" s="6"/>
      <c r="AC52" s="6"/>
      <c r="AD52" s="8">
        <v>0</v>
      </c>
      <c r="AE52" s="6"/>
      <c r="AF52" s="6"/>
      <c r="AG52" s="6"/>
      <c r="AH52" s="8">
        <v>0</v>
      </c>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8">
        <v>0</v>
      </c>
      <c r="BM52" s="6"/>
      <c r="BN52" s="6"/>
      <c r="BO52" s="6"/>
      <c r="BP52" s="6"/>
      <c r="BQ52" s="6"/>
      <c r="BR52" s="6"/>
      <c r="BS52" s="6"/>
      <c r="BT52" s="6"/>
      <c r="BU52" s="6"/>
      <c r="BV52" s="6"/>
      <c r="BW52" s="6"/>
      <c r="BX52" s="6"/>
      <c r="BY52" s="6"/>
      <c r="BZ52" s="6"/>
      <c r="CA52" s="6"/>
      <c r="CB52" s="6"/>
      <c r="CC52" s="6"/>
      <c r="CD52" s="6"/>
      <c r="CE52" s="6"/>
      <c r="CF52" s="6"/>
      <c r="CG52" s="9">
        <v>0</v>
      </c>
    </row>
    <row r="53" spans="1:85" x14ac:dyDescent="0.3">
      <c r="A53" s="3" t="str">
        <f t="shared" si="2"/>
        <v>ADDDiscoveryScience &amp; Technology CentersSTCs - 2013 Class</v>
      </c>
      <c r="B53" s="6" t="s">
        <v>81</v>
      </c>
      <c r="C53" s="6" t="s">
        <v>82</v>
      </c>
      <c r="D53" s="6" t="s">
        <v>123</v>
      </c>
      <c r="E53" s="6" t="s">
        <v>125</v>
      </c>
      <c r="F53" s="8">
        <v>3.32</v>
      </c>
      <c r="G53" s="6"/>
      <c r="H53" s="6"/>
      <c r="I53" s="6"/>
      <c r="J53" s="6"/>
      <c r="K53" s="6"/>
      <c r="L53" s="8">
        <v>3.32</v>
      </c>
      <c r="M53" s="8">
        <v>2</v>
      </c>
      <c r="N53" s="6"/>
      <c r="O53" s="8">
        <v>0.66</v>
      </c>
      <c r="P53" s="8">
        <v>0.66</v>
      </c>
      <c r="Q53" s="6"/>
      <c r="R53" s="6"/>
      <c r="S53" s="8">
        <v>3.32</v>
      </c>
      <c r="T53" s="6"/>
      <c r="U53" s="6"/>
      <c r="V53" s="6"/>
      <c r="W53" s="6"/>
      <c r="X53" s="6"/>
      <c r="Y53" s="6"/>
      <c r="Z53" s="6"/>
      <c r="AA53" s="6"/>
      <c r="AB53" s="6"/>
      <c r="AC53" s="6"/>
      <c r="AD53" s="6"/>
      <c r="AE53" s="6"/>
      <c r="AF53" s="6"/>
      <c r="AG53" s="6"/>
      <c r="AH53" s="6"/>
      <c r="AI53" s="6"/>
      <c r="AJ53" s="6"/>
      <c r="AK53" s="8">
        <v>3.73</v>
      </c>
      <c r="AL53" s="6"/>
      <c r="AM53" s="6"/>
      <c r="AN53" s="6"/>
      <c r="AO53" s="6"/>
      <c r="AP53" s="8">
        <v>3.73</v>
      </c>
      <c r="AQ53" s="6"/>
      <c r="AR53" s="6"/>
      <c r="AS53" s="6"/>
      <c r="AT53" s="6"/>
      <c r="AU53" s="6"/>
      <c r="AV53" s="6"/>
      <c r="AW53" s="6"/>
      <c r="AX53" s="6"/>
      <c r="AY53" s="6"/>
      <c r="AZ53" s="6"/>
      <c r="BA53" s="6"/>
      <c r="BB53" s="6"/>
      <c r="BC53" s="6"/>
      <c r="BD53" s="6"/>
      <c r="BE53" s="6"/>
      <c r="BF53" s="8">
        <v>0</v>
      </c>
      <c r="BG53" s="8">
        <v>0</v>
      </c>
      <c r="BH53" s="6"/>
      <c r="BI53" s="6"/>
      <c r="BJ53" s="6"/>
      <c r="BK53" s="6"/>
      <c r="BL53" s="8">
        <v>10.37</v>
      </c>
      <c r="BM53" s="6"/>
      <c r="BN53" s="6"/>
      <c r="BO53" s="6"/>
      <c r="BP53" s="6"/>
      <c r="BQ53" s="6"/>
      <c r="BR53" s="6"/>
      <c r="BS53" s="6"/>
      <c r="BT53" s="6"/>
      <c r="BU53" s="6"/>
      <c r="BV53" s="6"/>
      <c r="BW53" s="6"/>
      <c r="BX53" s="6"/>
      <c r="BY53" s="6"/>
      <c r="BZ53" s="6"/>
      <c r="CA53" s="6"/>
      <c r="CB53" s="6"/>
      <c r="CC53" s="6"/>
      <c r="CD53" s="6"/>
      <c r="CE53" s="6"/>
      <c r="CF53" s="6"/>
      <c r="CG53" s="9">
        <v>10.37</v>
      </c>
    </row>
    <row r="54" spans="1:85" x14ac:dyDescent="0.3">
      <c r="A54" s="3" t="str">
        <f t="shared" si="2"/>
        <v>ADDDiscoveryScience &amp; Technology CentersSTCs – 2016 Class</v>
      </c>
      <c r="B54" s="6" t="s">
        <v>81</v>
      </c>
      <c r="C54" s="6" t="s">
        <v>82</v>
      </c>
      <c r="D54" s="6" t="s">
        <v>123</v>
      </c>
      <c r="E54" s="6" t="s">
        <v>126</v>
      </c>
      <c r="F54" s="8">
        <v>5</v>
      </c>
      <c r="G54" s="6"/>
      <c r="H54" s="6"/>
      <c r="I54" s="6"/>
      <c r="J54" s="6"/>
      <c r="K54" s="6"/>
      <c r="L54" s="8">
        <v>5</v>
      </c>
      <c r="M54" s="6"/>
      <c r="N54" s="6"/>
      <c r="O54" s="6"/>
      <c r="P54" s="6"/>
      <c r="Q54" s="6"/>
      <c r="R54" s="6"/>
      <c r="S54" s="6"/>
      <c r="T54" s="6"/>
      <c r="U54" s="8">
        <v>5</v>
      </c>
      <c r="V54" s="6"/>
      <c r="W54" s="6"/>
      <c r="X54" s="6"/>
      <c r="Y54" s="6"/>
      <c r="Z54" s="6"/>
      <c r="AA54" s="8">
        <v>5</v>
      </c>
      <c r="AB54" s="6"/>
      <c r="AC54" s="6"/>
      <c r="AD54" s="6"/>
      <c r="AE54" s="6"/>
      <c r="AF54" s="6"/>
      <c r="AG54" s="6"/>
      <c r="AH54" s="6"/>
      <c r="AI54" s="6"/>
      <c r="AJ54" s="6"/>
      <c r="AK54" s="8">
        <v>5</v>
      </c>
      <c r="AL54" s="6"/>
      <c r="AM54" s="6"/>
      <c r="AN54" s="8">
        <v>5</v>
      </c>
      <c r="AO54" s="6"/>
      <c r="AP54" s="8">
        <v>10</v>
      </c>
      <c r="AQ54" s="6"/>
      <c r="AR54" s="6"/>
      <c r="AS54" s="6"/>
      <c r="AT54" s="6"/>
      <c r="AU54" s="6"/>
      <c r="AV54" s="6"/>
      <c r="AW54" s="6"/>
      <c r="AX54" s="6"/>
      <c r="AY54" s="6"/>
      <c r="AZ54" s="6"/>
      <c r="BA54" s="6"/>
      <c r="BB54" s="6"/>
      <c r="BC54" s="6"/>
      <c r="BD54" s="6"/>
      <c r="BE54" s="6"/>
      <c r="BF54" s="6"/>
      <c r="BG54" s="6"/>
      <c r="BH54" s="6"/>
      <c r="BI54" s="6"/>
      <c r="BJ54" s="6"/>
      <c r="BK54" s="6"/>
      <c r="BL54" s="8">
        <v>20</v>
      </c>
      <c r="BM54" s="6"/>
      <c r="BN54" s="6"/>
      <c r="BO54" s="6"/>
      <c r="BP54" s="6"/>
      <c r="BQ54" s="6"/>
      <c r="BR54" s="6"/>
      <c r="BS54" s="6"/>
      <c r="BT54" s="6"/>
      <c r="BU54" s="6"/>
      <c r="BV54" s="6"/>
      <c r="BW54" s="6"/>
      <c r="BX54" s="6"/>
      <c r="BY54" s="6"/>
      <c r="BZ54" s="6"/>
      <c r="CA54" s="6"/>
      <c r="CB54" s="6"/>
      <c r="CC54" s="6"/>
      <c r="CD54" s="6"/>
      <c r="CE54" s="6"/>
      <c r="CF54" s="6"/>
      <c r="CG54" s="9">
        <v>20</v>
      </c>
    </row>
    <row r="55" spans="1:85" x14ac:dyDescent="0.3">
      <c r="A55" s="3" t="str">
        <f t="shared" si="2"/>
        <v>ADDDiscoveryScience &amp; Technology CentersSTCs - 2021 Class</v>
      </c>
      <c r="B55" s="6" t="s">
        <v>81</v>
      </c>
      <c r="C55" s="6" t="s">
        <v>82</v>
      </c>
      <c r="D55" s="6" t="s">
        <v>123</v>
      </c>
      <c r="E55" s="6" t="s">
        <v>127</v>
      </c>
      <c r="F55" s="8">
        <v>5</v>
      </c>
      <c r="G55" s="6"/>
      <c r="H55" s="6"/>
      <c r="I55" s="6"/>
      <c r="J55" s="6"/>
      <c r="K55" s="6"/>
      <c r="L55" s="8">
        <v>5</v>
      </c>
      <c r="M55" s="6"/>
      <c r="N55" s="6"/>
      <c r="O55" s="6"/>
      <c r="P55" s="6"/>
      <c r="Q55" s="6"/>
      <c r="R55" s="6"/>
      <c r="S55" s="6"/>
      <c r="T55" s="8">
        <v>5</v>
      </c>
      <c r="U55" s="6"/>
      <c r="V55" s="6"/>
      <c r="W55" s="6"/>
      <c r="X55" s="6"/>
      <c r="Y55" s="6"/>
      <c r="Z55" s="6"/>
      <c r="AA55" s="8">
        <v>5</v>
      </c>
      <c r="AB55" s="8">
        <v>5</v>
      </c>
      <c r="AC55" s="6"/>
      <c r="AD55" s="8">
        <v>5</v>
      </c>
      <c r="AE55" s="8">
        <v>5</v>
      </c>
      <c r="AF55" s="6"/>
      <c r="AG55" s="6"/>
      <c r="AH55" s="8">
        <v>15</v>
      </c>
      <c r="AI55" s="6"/>
      <c r="AJ55" s="6"/>
      <c r="AK55" s="8">
        <v>5</v>
      </c>
      <c r="AL55" s="6"/>
      <c r="AM55" s="6"/>
      <c r="AN55" s="6"/>
      <c r="AO55" s="6"/>
      <c r="AP55" s="8">
        <v>5</v>
      </c>
      <c r="AQ55" s="6"/>
      <c r="AR55" s="6"/>
      <c r="AS55" s="6"/>
      <c r="AT55" s="6"/>
      <c r="AU55" s="6"/>
      <c r="AV55" s="6"/>
      <c r="AW55" s="6"/>
      <c r="AX55" s="6"/>
      <c r="AY55" s="6"/>
      <c r="AZ55" s="6"/>
      <c r="BA55" s="6"/>
      <c r="BB55" s="6"/>
      <c r="BC55" s="6"/>
      <c r="BD55" s="6"/>
      <c r="BE55" s="6"/>
      <c r="BF55" s="8">
        <v>0</v>
      </c>
      <c r="BG55" s="8">
        <v>0</v>
      </c>
      <c r="BH55" s="6"/>
      <c r="BI55" s="6"/>
      <c r="BJ55" s="6"/>
      <c r="BK55" s="6"/>
      <c r="BL55" s="8">
        <v>30</v>
      </c>
      <c r="BM55" s="6"/>
      <c r="BN55" s="6"/>
      <c r="BO55" s="6"/>
      <c r="BP55" s="6"/>
      <c r="BQ55" s="6"/>
      <c r="BR55" s="6"/>
      <c r="BS55" s="6"/>
      <c r="BT55" s="6"/>
      <c r="BU55" s="6"/>
      <c r="BV55" s="6"/>
      <c r="BW55" s="6"/>
      <c r="BX55" s="6"/>
      <c r="BY55" s="6"/>
      <c r="BZ55" s="6"/>
      <c r="CA55" s="6"/>
      <c r="CB55" s="6"/>
      <c r="CC55" s="6"/>
      <c r="CD55" s="6"/>
      <c r="CE55" s="6"/>
      <c r="CF55" s="6"/>
      <c r="CG55" s="9">
        <v>30</v>
      </c>
    </row>
    <row r="56" spans="1:85" x14ac:dyDescent="0.3">
      <c r="A56" s="3" t="str">
        <f t="shared" si="2"/>
        <v>ADDDiscoveryScience &amp; Technology CentersSTCs - Administration</v>
      </c>
      <c r="B56" s="6" t="s">
        <v>81</v>
      </c>
      <c r="C56" s="6" t="s">
        <v>82</v>
      </c>
      <c r="D56" s="6" t="s">
        <v>123</v>
      </c>
      <c r="E56" s="6" t="s">
        <v>128</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8">
        <v>0.6</v>
      </c>
      <c r="BG56" s="8">
        <v>0.6</v>
      </c>
      <c r="BH56" s="6"/>
      <c r="BI56" s="6"/>
      <c r="BJ56" s="6"/>
      <c r="BK56" s="6"/>
      <c r="BL56" s="8">
        <v>0.6</v>
      </c>
      <c r="BM56" s="6"/>
      <c r="BN56" s="6"/>
      <c r="BO56" s="6"/>
      <c r="BP56" s="6"/>
      <c r="BQ56" s="6"/>
      <c r="BR56" s="6"/>
      <c r="BS56" s="6"/>
      <c r="BT56" s="6"/>
      <c r="BU56" s="6"/>
      <c r="BV56" s="6"/>
      <c r="BW56" s="6"/>
      <c r="BX56" s="6"/>
      <c r="BY56" s="6"/>
      <c r="BZ56" s="6"/>
      <c r="CA56" s="6"/>
      <c r="CB56" s="6"/>
      <c r="CC56" s="6"/>
      <c r="CD56" s="6"/>
      <c r="CE56" s="6"/>
      <c r="CF56" s="6"/>
      <c r="CG56" s="9">
        <v>0.6</v>
      </c>
    </row>
    <row r="57" spans="1:85" x14ac:dyDescent="0.3">
      <c r="A57" s="3" t="str">
        <f t="shared" si="2"/>
        <v>ADDDiscoverySmall Business – SBIR ProgramsTotal</v>
      </c>
      <c r="B57" s="6" t="s">
        <v>81</v>
      </c>
      <c r="C57" s="6" t="s">
        <v>82</v>
      </c>
      <c r="D57" s="6" t="s">
        <v>129</v>
      </c>
      <c r="E57" s="6" t="s">
        <v>24</v>
      </c>
      <c r="F57" s="6"/>
      <c r="G57" s="6"/>
      <c r="H57" s="6"/>
      <c r="I57" s="6"/>
      <c r="J57" s="6"/>
      <c r="K57" s="6"/>
      <c r="L57" s="6"/>
      <c r="M57" s="6"/>
      <c r="N57" s="6"/>
      <c r="O57" s="6"/>
      <c r="P57" s="6"/>
      <c r="Q57" s="6"/>
      <c r="R57" s="6"/>
      <c r="S57" s="6"/>
      <c r="T57" s="6"/>
      <c r="U57" s="6"/>
      <c r="V57" s="6"/>
      <c r="W57" s="6"/>
      <c r="X57" s="6"/>
      <c r="Y57" s="8">
        <v>0</v>
      </c>
      <c r="Z57" s="6"/>
      <c r="AA57" s="8">
        <v>0</v>
      </c>
      <c r="AB57" s="6"/>
      <c r="AC57" s="6"/>
      <c r="AD57" s="6"/>
      <c r="AE57" s="6"/>
      <c r="AF57" s="6"/>
      <c r="AG57" s="6"/>
      <c r="AH57" s="6"/>
      <c r="AI57" s="6"/>
      <c r="AJ57" s="6"/>
      <c r="AK57" s="6"/>
      <c r="AL57" s="6"/>
      <c r="AM57" s="6"/>
      <c r="AN57" s="6"/>
      <c r="AO57" s="6"/>
      <c r="AP57" s="6"/>
      <c r="AQ57" s="6"/>
      <c r="AR57" s="6"/>
      <c r="AS57" s="6"/>
      <c r="AT57" s="6"/>
      <c r="AU57" s="6"/>
      <c r="AV57" s="6"/>
      <c r="AW57" s="6"/>
      <c r="AX57" s="6"/>
      <c r="AY57" s="6"/>
      <c r="AZ57" s="8">
        <v>202.51</v>
      </c>
      <c r="BA57" s="6"/>
      <c r="BB57" s="8">
        <v>202.51</v>
      </c>
      <c r="BC57" s="6"/>
      <c r="BD57" s="6"/>
      <c r="BE57" s="6"/>
      <c r="BF57" s="6"/>
      <c r="BG57" s="6"/>
      <c r="BH57" s="6"/>
      <c r="BI57" s="6"/>
      <c r="BJ57" s="6"/>
      <c r="BK57" s="6"/>
      <c r="BL57" s="8">
        <v>202.51</v>
      </c>
      <c r="BM57" s="6"/>
      <c r="BN57" s="6"/>
      <c r="BO57" s="6"/>
      <c r="BP57" s="6"/>
      <c r="BQ57" s="6"/>
      <c r="BR57" s="6"/>
      <c r="BS57" s="6"/>
      <c r="BT57" s="6"/>
      <c r="BU57" s="6"/>
      <c r="BV57" s="6"/>
      <c r="BW57" s="6"/>
      <c r="BX57" s="6"/>
      <c r="BY57" s="6"/>
      <c r="BZ57" s="6"/>
      <c r="CA57" s="6"/>
      <c r="CB57" s="6"/>
      <c r="CC57" s="6"/>
      <c r="CD57" s="6"/>
      <c r="CE57" s="6"/>
      <c r="CF57" s="6"/>
      <c r="CG57" s="9">
        <v>202.51</v>
      </c>
    </row>
    <row r="58" spans="1:85" x14ac:dyDescent="0.3">
      <c r="A58" s="3" t="str">
        <f t="shared" si="2"/>
        <v>ADDDiscoverySmall Business – SBIR/STTR OperationsTotal</v>
      </c>
      <c r="B58" s="6" t="s">
        <v>81</v>
      </c>
      <c r="C58" s="6" t="s">
        <v>82</v>
      </c>
      <c r="D58" s="6" t="s">
        <v>130</v>
      </c>
      <c r="E58" s="6" t="s">
        <v>24</v>
      </c>
      <c r="F58" s="6"/>
      <c r="G58" s="6"/>
      <c r="H58" s="6"/>
      <c r="I58" s="6"/>
      <c r="J58" s="6"/>
      <c r="K58" s="6"/>
      <c r="L58" s="6"/>
      <c r="M58" s="6"/>
      <c r="N58" s="6"/>
      <c r="O58" s="6"/>
      <c r="P58" s="6"/>
      <c r="Q58" s="6"/>
      <c r="R58" s="6"/>
      <c r="S58" s="6"/>
      <c r="T58" s="6"/>
      <c r="U58" s="6"/>
      <c r="V58" s="6"/>
      <c r="W58" s="6"/>
      <c r="X58" s="6"/>
      <c r="Y58" s="8">
        <v>0</v>
      </c>
      <c r="Z58" s="6"/>
      <c r="AA58" s="8">
        <v>0</v>
      </c>
      <c r="AB58" s="6"/>
      <c r="AC58" s="6"/>
      <c r="AD58" s="6"/>
      <c r="AE58" s="6"/>
      <c r="AF58" s="6"/>
      <c r="AG58" s="6"/>
      <c r="AH58" s="6"/>
      <c r="AI58" s="6"/>
      <c r="AJ58" s="6"/>
      <c r="AK58" s="6"/>
      <c r="AL58" s="6"/>
      <c r="AM58" s="6"/>
      <c r="AN58" s="6"/>
      <c r="AO58" s="6"/>
      <c r="AP58" s="6"/>
      <c r="AQ58" s="6"/>
      <c r="AR58" s="6"/>
      <c r="AS58" s="6"/>
      <c r="AT58" s="6"/>
      <c r="AU58" s="6"/>
      <c r="AV58" s="6"/>
      <c r="AW58" s="6"/>
      <c r="AX58" s="6"/>
      <c r="AY58" s="6"/>
      <c r="AZ58" s="8">
        <v>5</v>
      </c>
      <c r="BA58" s="6"/>
      <c r="BB58" s="8">
        <v>5</v>
      </c>
      <c r="BC58" s="6"/>
      <c r="BD58" s="6"/>
      <c r="BE58" s="6"/>
      <c r="BF58" s="6"/>
      <c r="BG58" s="6"/>
      <c r="BH58" s="6"/>
      <c r="BI58" s="6"/>
      <c r="BJ58" s="6"/>
      <c r="BK58" s="6"/>
      <c r="BL58" s="8">
        <v>5</v>
      </c>
      <c r="BM58" s="6"/>
      <c r="BN58" s="6"/>
      <c r="BO58" s="6"/>
      <c r="BP58" s="6"/>
      <c r="BQ58" s="6"/>
      <c r="BR58" s="6"/>
      <c r="BS58" s="6"/>
      <c r="BT58" s="6"/>
      <c r="BU58" s="6"/>
      <c r="BV58" s="6"/>
      <c r="BW58" s="6"/>
      <c r="BX58" s="6"/>
      <c r="BY58" s="6"/>
      <c r="BZ58" s="6"/>
      <c r="CA58" s="6"/>
      <c r="CB58" s="6"/>
      <c r="CC58" s="6"/>
      <c r="CD58" s="6"/>
      <c r="CE58" s="6"/>
      <c r="CF58" s="6"/>
      <c r="CG58" s="9">
        <v>5</v>
      </c>
    </row>
    <row r="59" spans="1:85" x14ac:dyDescent="0.3">
      <c r="A59" s="3" t="str">
        <f t="shared" si="2"/>
        <v>ADDDiscoverySmall Business – STTR ProgramsTotal</v>
      </c>
      <c r="B59" s="6" t="s">
        <v>81</v>
      </c>
      <c r="C59" s="6" t="s">
        <v>82</v>
      </c>
      <c r="D59" s="6" t="s">
        <v>131</v>
      </c>
      <c r="E59" s="6" t="s">
        <v>24</v>
      </c>
      <c r="F59" s="6"/>
      <c r="G59" s="6"/>
      <c r="H59" s="6"/>
      <c r="I59" s="6"/>
      <c r="J59" s="6"/>
      <c r="K59" s="6"/>
      <c r="L59" s="6"/>
      <c r="M59" s="6"/>
      <c r="N59" s="6"/>
      <c r="O59" s="6"/>
      <c r="P59" s="6"/>
      <c r="Q59" s="6"/>
      <c r="R59" s="6"/>
      <c r="S59" s="6"/>
      <c r="T59" s="6"/>
      <c r="U59" s="6"/>
      <c r="V59" s="6"/>
      <c r="W59" s="6"/>
      <c r="X59" s="6"/>
      <c r="Y59" s="8">
        <v>0</v>
      </c>
      <c r="Z59" s="6"/>
      <c r="AA59" s="8">
        <v>0</v>
      </c>
      <c r="AB59" s="6"/>
      <c r="AC59" s="6"/>
      <c r="AD59" s="6"/>
      <c r="AE59" s="6"/>
      <c r="AF59" s="6"/>
      <c r="AG59" s="6"/>
      <c r="AH59" s="6"/>
      <c r="AI59" s="6"/>
      <c r="AJ59" s="6"/>
      <c r="AK59" s="6"/>
      <c r="AL59" s="6"/>
      <c r="AM59" s="6"/>
      <c r="AN59" s="6"/>
      <c r="AO59" s="6"/>
      <c r="AP59" s="6"/>
      <c r="AQ59" s="6"/>
      <c r="AR59" s="6"/>
      <c r="AS59" s="6"/>
      <c r="AT59" s="6"/>
      <c r="AU59" s="6"/>
      <c r="AV59" s="6"/>
      <c r="AW59" s="6"/>
      <c r="AX59" s="6"/>
      <c r="AY59" s="6"/>
      <c r="AZ59" s="8">
        <v>28.49</v>
      </c>
      <c r="BA59" s="6"/>
      <c r="BB59" s="8">
        <v>28.49</v>
      </c>
      <c r="BC59" s="6"/>
      <c r="BD59" s="6"/>
      <c r="BE59" s="6"/>
      <c r="BF59" s="6"/>
      <c r="BG59" s="6"/>
      <c r="BH59" s="6"/>
      <c r="BI59" s="6"/>
      <c r="BJ59" s="6"/>
      <c r="BK59" s="6"/>
      <c r="BL59" s="8">
        <v>28.49</v>
      </c>
      <c r="BM59" s="6"/>
      <c r="BN59" s="6"/>
      <c r="BO59" s="6"/>
      <c r="BP59" s="6"/>
      <c r="BQ59" s="6"/>
      <c r="BR59" s="6"/>
      <c r="BS59" s="6"/>
      <c r="BT59" s="6"/>
      <c r="BU59" s="6"/>
      <c r="BV59" s="6"/>
      <c r="BW59" s="6"/>
      <c r="BX59" s="6"/>
      <c r="BY59" s="6"/>
      <c r="BZ59" s="6"/>
      <c r="CA59" s="6"/>
      <c r="CB59" s="6"/>
      <c r="CC59" s="6"/>
      <c r="CD59" s="6"/>
      <c r="CE59" s="6"/>
      <c r="CF59" s="6"/>
      <c r="CG59" s="9">
        <v>28.49</v>
      </c>
    </row>
    <row r="60" spans="1:85" x14ac:dyDescent="0.3">
      <c r="A60" s="3" t="str">
        <f t="shared" si="2"/>
        <v>ADDDiscoveryTribal Colleges &amp; Universities Program (TCUP)Total</v>
      </c>
      <c r="B60" s="6" t="s">
        <v>81</v>
      </c>
      <c r="C60" s="6" t="s">
        <v>82</v>
      </c>
      <c r="D60" s="6" t="s">
        <v>132</v>
      </c>
      <c r="E60" s="6" t="s">
        <v>24</v>
      </c>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8">
        <v>17.5</v>
      </c>
      <c r="BQ60" s="6"/>
      <c r="BR60" s="8">
        <v>17.5</v>
      </c>
      <c r="BS60" s="8">
        <v>17.5</v>
      </c>
      <c r="BT60" s="6"/>
      <c r="BU60" s="6"/>
      <c r="BV60" s="6"/>
      <c r="BW60" s="6"/>
      <c r="BX60" s="6"/>
      <c r="BY60" s="6"/>
      <c r="BZ60" s="6"/>
      <c r="CA60" s="6"/>
      <c r="CB60" s="6"/>
      <c r="CC60" s="6"/>
      <c r="CD60" s="6"/>
      <c r="CE60" s="6"/>
      <c r="CF60" s="6"/>
      <c r="CG60" s="9">
        <v>17.5</v>
      </c>
    </row>
    <row r="61" spans="1:85" x14ac:dyDescent="0.3">
      <c r="A61" s="3" t="str">
        <f t="shared" si="2"/>
        <v>ADDLearningTotalTotal</v>
      </c>
      <c r="B61" s="6" t="s">
        <v>81</v>
      </c>
      <c r="C61" s="6" t="s">
        <v>133</v>
      </c>
      <c r="D61" s="6" t="s">
        <v>24</v>
      </c>
      <c r="E61" s="6" t="s">
        <v>24</v>
      </c>
      <c r="F61" s="8">
        <v>30.44</v>
      </c>
      <c r="G61" s="8">
        <v>10.44</v>
      </c>
      <c r="H61" s="8">
        <v>0.94</v>
      </c>
      <c r="I61" s="8">
        <v>12.44</v>
      </c>
      <c r="J61" s="8">
        <v>9.44</v>
      </c>
      <c r="K61" s="6"/>
      <c r="L61" s="8">
        <v>63.7</v>
      </c>
      <c r="M61" s="8">
        <v>9.3000000000000007</v>
      </c>
      <c r="N61" s="8">
        <v>13.1</v>
      </c>
      <c r="O61" s="8">
        <v>9.6999999999999993</v>
      </c>
      <c r="P61" s="8">
        <v>3.82</v>
      </c>
      <c r="Q61" s="8">
        <v>19.2</v>
      </c>
      <c r="R61" s="6"/>
      <c r="S61" s="8">
        <v>55.12</v>
      </c>
      <c r="T61" s="8">
        <v>1.6</v>
      </c>
      <c r="U61" s="8">
        <v>3.05</v>
      </c>
      <c r="V61" s="8">
        <v>0.95</v>
      </c>
      <c r="W61" s="8">
        <v>16.05</v>
      </c>
      <c r="X61" s="8">
        <v>0.15</v>
      </c>
      <c r="Y61" s="8">
        <v>0</v>
      </c>
      <c r="Z61" s="6"/>
      <c r="AA61" s="8">
        <v>21.8</v>
      </c>
      <c r="AB61" s="8">
        <v>3.14</v>
      </c>
      <c r="AC61" s="8">
        <v>6.71</v>
      </c>
      <c r="AD61" s="8">
        <v>9.1300000000000008</v>
      </c>
      <c r="AE61" s="8">
        <v>3.92</v>
      </c>
      <c r="AF61" s="8">
        <v>0</v>
      </c>
      <c r="AG61" s="6"/>
      <c r="AH61" s="8">
        <v>22.9</v>
      </c>
      <c r="AI61" s="8">
        <v>5.6</v>
      </c>
      <c r="AJ61" s="8">
        <v>4.55</v>
      </c>
      <c r="AK61" s="8">
        <v>2.5</v>
      </c>
      <c r="AL61" s="8">
        <v>10.9</v>
      </c>
      <c r="AM61" s="8">
        <v>1</v>
      </c>
      <c r="AN61" s="8">
        <v>4.92</v>
      </c>
      <c r="AO61" s="6"/>
      <c r="AP61" s="8">
        <v>29.47</v>
      </c>
      <c r="AQ61" s="8">
        <v>0.44</v>
      </c>
      <c r="AR61" s="6"/>
      <c r="AS61" s="8">
        <v>8.06</v>
      </c>
      <c r="AT61" s="8">
        <v>0.5</v>
      </c>
      <c r="AU61" s="6"/>
      <c r="AV61" s="8">
        <v>9</v>
      </c>
      <c r="AW61" s="6"/>
      <c r="AX61" s="6"/>
      <c r="AY61" s="6"/>
      <c r="AZ61" s="8">
        <v>10</v>
      </c>
      <c r="BA61" s="6"/>
      <c r="BB61" s="8">
        <v>10</v>
      </c>
      <c r="BC61" s="8">
        <v>6.95</v>
      </c>
      <c r="BD61" s="8">
        <v>6.95</v>
      </c>
      <c r="BE61" s="6"/>
      <c r="BF61" s="8">
        <v>5.4</v>
      </c>
      <c r="BG61" s="8">
        <v>5.4</v>
      </c>
      <c r="BH61" s="6"/>
      <c r="BI61" s="6"/>
      <c r="BJ61" s="6"/>
      <c r="BK61" s="6"/>
      <c r="BL61" s="8">
        <v>224.34</v>
      </c>
      <c r="BM61" s="8">
        <v>413</v>
      </c>
      <c r="BN61" s="8">
        <v>10</v>
      </c>
      <c r="BO61" s="8">
        <v>142</v>
      </c>
      <c r="BP61" s="8">
        <v>77.400000000000006</v>
      </c>
      <c r="BQ61" s="8">
        <v>-14.18</v>
      </c>
      <c r="BR61" s="8">
        <v>628.22</v>
      </c>
      <c r="BS61" s="8">
        <v>628.22</v>
      </c>
      <c r="BT61" s="6"/>
      <c r="BU61" s="6"/>
      <c r="BV61" s="6"/>
      <c r="BW61" s="6"/>
      <c r="BX61" s="6"/>
      <c r="BY61" s="6"/>
      <c r="BZ61" s="6"/>
      <c r="CA61" s="6"/>
      <c r="CB61" s="6"/>
      <c r="CC61" s="6"/>
      <c r="CD61" s="6"/>
      <c r="CE61" s="6"/>
      <c r="CF61" s="6"/>
      <c r="CG61" s="9">
        <v>852.56</v>
      </c>
    </row>
    <row r="62" spans="1:85" x14ac:dyDescent="0.3">
      <c r="A62" s="3" t="str">
        <f t="shared" si="2"/>
        <v>ADDLearningADVANCETotal</v>
      </c>
      <c r="B62" s="6" t="s">
        <v>81</v>
      </c>
      <c r="C62" s="6" t="s">
        <v>133</v>
      </c>
      <c r="D62" s="6" t="s">
        <v>134</v>
      </c>
      <c r="E62" s="6" t="s">
        <v>24</v>
      </c>
      <c r="F62" s="6"/>
      <c r="G62" s="6"/>
      <c r="H62" s="6"/>
      <c r="I62" s="6"/>
      <c r="J62" s="6"/>
      <c r="K62" s="6"/>
      <c r="L62" s="6"/>
      <c r="M62" s="6"/>
      <c r="N62" s="8">
        <v>0</v>
      </c>
      <c r="O62" s="6"/>
      <c r="P62" s="6"/>
      <c r="Q62" s="6"/>
      <c r="R62" s="6"/>
      <c r="S62" s="8">
        <v>0</v>
      </c>
      <c r="T62" s="8">
        <v>0</v>
      </c>
      <c r="U62" s="8">
        <v>0</v>
      </c>
      <c r="V62" s="6"/>
      <c r="W62" s="6"/>
      <c r="X62" s="8">
        <v>0</v>
      </c>
      <c r="Y62" s="6"/>
      <c r="Z62" s="6"/>
      <c r="AA62" s="8">
        <v>0</v>
      </c>
      <c r="AB62" s="6"/>
      <c r="AC62" s="6"/>
      <c r="AD62" s="6"/>
      <c r="AE62" s="8">
        <v>0</v>
      </c>
      <c r="AF62" s="6"/>
      <c r="AG62" s="6"/>
      <c r="AH62" s="8">
        <v>0</v>
      </c>
      <c r="AI62" s="6"/>
      <c r="AJ62" s="8">
        <v>0</v>
      </c>
      <c r="AK62" s="6"/>
      <c r="AL62" s="6"/>
      <c r="AM62" s="8">
        <v>0</v>
      </c>
      <c r="AN62" s="6"/>
      <c r="AO62" s="6"/>
      <c r="AP62" s="8">
        <v>0</v>
      </c>
      <c r="AQ62" s="8">
        <v>0</v>
      </c>
      <c r="AR62" s="6"/>
      <c r="AS62" s="6"/>
      <c r="AT62" s="8">
        <v>0</v>
      </c>
      <c r="AU62" s="6"/>
      <c r="AV62" s="8">
        <v>0</v>
      </c>
      <c r="AW62" s="6"/>
      <c r="AX62" s="6"/>
      <c r="AY62" s="6"/>
      <c r="AZ62" s="6"/>
      <c r="BA62" s="6"/>
      <c r="BB62" s="6"/>
      <c r="BC62" s="6"/>
      <c r="BD62" s="6"/>
      <c r="BE62" s="6"/>
      <c r="BF62" s="6"/>
      <c r="BG62" s="6"/>
      <c r="BH62" s="6"/>
      <c r="BI62" s="6"/>
      <c r="BJ62" s="6"/>
      <c r="BK62" s="6"/>
      <c r="BL62" s="8">
        <v>0</v>
      </c>
      <c r="BM62" s="6"/>
      <c r="BN62" s="6"/>
      <c r="BO62" s="6"/>
      <c r="BP62" s="8">
        <v>18.5</v>
      </c>
      <c r="BQ62" s="6"/>
      <c r="BR62" s="8">
        <v>18.5</v>
      </c>
      <c r="BS62" s="8">
        <v>18.5</v>
      </c>
      <c r="BT62" s="6"/>
      <c r="BU62" s="6"/>
      <c r="BV62" s="6"/>
      <c r="BW62" s="6"/>
      <c r="BX62" s="6"/>
      <c r="BY62" s="6"/>
      <c r="BZ62" s="6"/>
      <c r="CA62" s="6"/>
      <c r="CB62" s="6"/>
      <c r="CC62" s="6"/>
      <c r="CD62" s="6"/>
      <c r="CE62" s="6"/>
      <c r="CF62" s="6"/>
      <c r="CG62" s="9">
        <v>18.5</v>
      </c>
    </row>
    <row r="63" spans="1:85" x14ac:dyDescent="0.3">
      <c r="A63" s="3" t="str">
        <f t="shared" si="2"/>
        <v>ADDLearningAdvanced Technological Education (ATE)Total</v>
      </c>
      <c r="B63" s="6" t="s">
        <v>81</v>
      </c>
      <c r="C63" s="6" t="s">
        <v>133</v>
      </c>
      <c r="D63" s="6" t="s">
        <v>135</v>
      </c>
      <c r="E63" s="6" t="s">
        <v>24</v>
      </c>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8">
        <v>75</v>
      </c>
      <c r="BP63" s="6"/>
      <c r="BQ63" s="6"/>
      <c r="BR63" s="8">
        <v>75</v>
      </c>
      <c r="BS63" s="8">
        <v>75</v>
      </c>
      <c r="BT63" s="6"/>
      <c r="BU63" s="6"/>
      <c r="BV63" s="6"/>
      <c r="BW63" s="6"/>
      <c r="BX63" s="6"/>
      <c r="BY63" s="6"/>
      <c r="BZ63" s="6"/>
      <c r="CA63" s="6"/>
      <c r="CB63" s="6"/>
      <c r="CC63" s="6"/>
      <c r="CD63" s="6"/>
      <c r="CE63" s="6"/>
      <c r="CF63" s="6"/>
      <c r="CG63" s="9">
        <v>75</v>
      </c>
    </row>
    <row r="64" spans="1:85" x14ac:dyDescent="0.3">
      <c r="A64" s="3" t="str">
        <f t="shared" si="2"/>
        <v>ADDLearningAstronomy &amp; Astrophysics Postdoctoral Fellowships (AAPF)Total</v>
      </c>
      <c r="B64" s="6" t="s">
        <v>81</v>
      </c>
      <c r="C64" s="6" t="s">
        <v>133</v>
      </c>
      <c r="D64" s="6" t="s">
        <v>136</v>
      </c>
      <c r="E64" s="6" t="s">
        <v>24</v>
      </c>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8">
        <v>2.4</v>
      </c>
      <c r="AJ64" s="6"/>
      <c r="AK64" s="6"/>
      <c r="AL64" s="6"/>
      <c r="AM64" s="6"/>
      <c r="AN64" s="6"/>
      <c r="AO64" s="6"/>
      <c r="AP64" s="8">
        <v>2.4</v>
      </c>
      <c r="AQ64" s="6"/>
      <c r="AR64" s="6"/>
      <c r="AS64" s="6"/>
      <c r="AT64" s="6"/>
      <c r="AU64" s="6"/>
      <c r="AV64" s="6"/>
      <c r="AW64" s="6"/>
      <c r="AX64" s="6"/>
      <c r="AY64" s="6"/>
      <c r="AZ64" s="6"/>
      <c r="BA64" s="6"/>
      <c r="BB64" s="6"/>
      <c r="BC64" s="6"/>
      <c r="BD64" s="6"/>
      <c r="BE64" s="6"/>
      <c r="BF64" s="6"/>
      <c r="BG64" s="6"/>
      <c r="BH64" s="6"/>
      <c r="BI64" s="6"/>
      <c r="BJ64" s="6"/>
      <c r="BK64" s="6"/>
      <c r="BL64" s="8">
        <v>2.4</v>
      </c>
      <c r="BM64" s="6"/>
      <c r="BN64" s="6"/>
      <c r="BO64" s="6"/>
      <c r="BP64" s="6"/>
      <c r="BQ64" s="6"/>
      <c r="BR64" s="6"/>
      <c r="BS64" s="6"/>
      <c r="BT64" s="6"/>
      <c r="BU64" s="6"/>
      <c r="BV64" s="6"/>
      <c r="BW64" s="6"/>
      <c r="BX64" s="6"/>
      <c r="BY64" s="6"/>
      <c r="BZ64" s="6"/>
      <c r="CA64" s="6"/>
      <c r="CB64" s="6"/>
      <c r="CC64" s="6"/>
      <c r="CD64" s="6"/>
      <c r="CE64" s="6"/>
      <c r="CF64" s="6"/>
      <c r="CG64" s="9">
        <v>2.4</v>
      </c>
    </row>
    <row r="65" spans="1:85" x14ac:dyDescent="0.3">
      <c r="A65" s="3" t="str">
        <f t="shared" si="2"/>
        <v>ADDLearningCareer-Life Balance (CLB)Total</v>
      </c>
      <c r="B65" s="6" t="s">
        <v>81</v>
      </c>
      <c r="C65" s="6" t="s">
        <v>133</v>
      </c>
      <c r="D65" s="6" t="s">
        <v>137</v>
      </c>
      <c r="E65" s="6" t="s">
        <v>24</v>
      </c>
      <c r="F65" s="6"/>
      <c r="G65" s="6"/>
      <c r="H65" s="6"/>
      <c r="I65" s="6"/>
      <c r="J65" s="6"/>
      <c r="K65" s="6"/>
      <c r="L65" s="6"/>
      <c r="M65" s="6"/>
      <c r="N65" s="6"/>
      <c r="O65" s="6"/>
      <c r="P65" s="6"/>
      <c r="Q65" s="6"/>
      <c r="R65" s="6"/>
      <c r="S65" s="6"/>
      <c r="T65" s="8">
        <v>0.1</v>
      </c>
      <c r="U65" s="8">
        <v>0.1</v>
      </c>
      <c r="V65" s="8">
        <v>0.05</v>
      </c>
      <c r="W65" s="6"/>
      <c r="X65" s="6"/>
      <c r="Y65" s="6"/>
      <c r="Z65" s="6"/>
      <c r="AA65" s="8">
        <v>0.25</v>
      </c>
      <c r="AB65" s="6"/>
      <c r="AC65" s="6"/>
      <c r="AD65" s="6"/>
      <c r="AE65" s="8">
        <v>0</v>
      </c>
      <c r="AF65" s="6"/>
      <c r="AG65" s="6"/>
      <c r="AH65" s="8">
        <v>0</v>
      </c>
      <c r="AI65" s="6"/>
      <c r="AJ65" s="8">
        <v>0.03</v>
      </c>
      <c r="AK65" s="6"/>
      <c r="AL65" s="6"/>
      <c r="AM65" s="8">
        <v>0</v>
      </c>
      <c r="AN65" s="6"/>
      <c r="AO65" s="6"/>
      <c r="AP65" s="8">
        <v>0.03</v>
      </c>
      <c r="AQ65" s="8">
        <v>0</v>
      </c>
      <c r="AR65" s="6"/>
      <c r="AS65" s="6"/>
      <c r="AT65" s="8">
        <v>0</v>
      </c>
      <c r="AU65" s="6"/>
      <c r="AV65" s="8">
        <v>0</v>
      </c>
      <c r="AW65" s="6"/>
      <c r="AX65" s="6"/>
      <c r="AY65" s="6"/>
      <c r="AZ65" s="6"/>
      <c r="BA65" s="6"/>
      <c r="BB65" s="6"/>
      <c r="BC65" s="6"/>
      <c r="BD65" s="6"/>
      <c r="BE65" s="6"/>
      <c r="BF65" s="6"/>
      <c r="BG65" s="6"/>
      <c r="BH65" s="6"/>
      <c r="BI65" s="6"/>
      <c r="BJ65" s="6"/>
      <c r="BK65" s="6"/>
      <c r="BL65" s="8">
        <v>0.28000000000000003</v>
      </c>
      <c r="BM65" s="6"/>
      <c r="BN65" s="6"/>
      <c r="BO65" s="6"/>
      <c r="BP65" s="8">
        <v>0</v>
      </c>
      <c r="BQ65" s="6"/>
      <c r="BR65" s="8">
        <v>0</v>
      </c>
      <c r="BS65" s="8">
        <v>0</v>
      </c>
      <c r="BT65" s="6"/>
      <c r="BU65" s="6"/>
      <c r="BV65" s="6"/>
      <c r="BW65" s="6"/>
      <c r="BX65" s="6"/>
      <c r="BY65" s="6"/>
      <c r="BZ65" s="6"/>
      <c r="CA65" s="6"/>
      <c r="CB65" s="6"/>
      <c r="CC65" s="6"/>
      <c r="CD65" s="6"/>
      <c r="CE65" s="6"/>
      <c r="CF65" s="6"/>
      <c r="CG65" s="9">
        <v>0.28000000000000003</v>
      </c>
    </row>
    <row r="66" spans="1:85" x14ac:dyDescent="0.3">
      <c r="A66" s="3" t="str">
        <f t="shared" si="2"/>
        <v>ADDLearningComputer Science for All (CSforAll)Total</v>
      </c>
      <c r="B66" s="6" t="s">
        <v>81</v>
      </c>
      <c r="C66" s="6" t="s">
        <v>133</v>
      </c>
      <c r="D66" s="6" t="s">
        <v>138</v>
      </c>
      <c r="E66" s="6" t="s">
        <v>24</v>
      </c>
      <c r="F66" s="6"/>
      <c r="G66" s="6"/>
      <c r="H66" s="6"/>
      <c r="I66" s="6"/>
      <c r="J66" s="6"/>
      <c r="K66" s="6"/>
      <c r="L66" s="6"/>
      <c r="M66" s="8">
        <v>4.5</v>
      </c>
      <c r="N66" s="8">
        <v>5.5</v>
      </c>
      <c r="O66" s="8">
        <v>4.5</v>
      </c>
      <c r="P66" s="6"/>
      <c r="Q66" s="8">
        <v>0</v>
      </c>
      <c r="R66" s="6"/>
      <c r="S66" s="8">
        <v>14.5</v>
      </c>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8">
        <v>14.5</v>
      </c>
      <c r="BM66" s="6"/>
      <c r="BN66" s="8">
        <v>10</v>
      </c>
      <c r="BO66" s="6"/>
      <c r="BP66" s="6"/>
      <c r="BQ66" s="6"/>
      <c r="BR66" s="8">
        <v>10</v>
      </c>
      <c r="BS66" s="8">
        <v>10</v>
      </c>
      <c r="BT66" s="6"/>
      <c r="BU66" s="6"/>
      <c r="BV66" s="6"/>
      <c r="BW66" s="6"/>
      <c r="BX66" s="6"/>
      <c r="BY66" s="6"/>
      <c r="BZ66" s="6"/>
      <c r="CA66" s="6"/>
      <c r="CB66" s="6"/>
      <c r="CC66" s="6"/>
      <c r="CD66" s="6"/>
      <c r="CE66" s="6"/>
      <c r="CF66" s="6"/>
      <c r="CG66" s="9">
        <v>24.5</v>
      </c>
    </row>
    <row r="67" spans="1:85" x14ac:dyDescent="0.3">
      <c r="A67" s="3" t="str">
        <f t="shared" si="2"/>
        <v>ADDLearningComputing WorkforceTotal</v>
      </c>
      <c r="B67" s="6" t="s">
        <v>81</v>
      </c>
      <c r="C67" s="6" t="s">
        <v>133</v>
      </c>
      <c r="D67" s="6" t="s">
        <v>139</v>
      </c>
      <c r="E67" s="6" t="s">
        <v>24</v>
      </c>
      <c r="F67" s="6"/>
      <c r="G67" s="6"/>
      <c r="H67" s="6"/>
      <c r="I67" s="6"/>
      <c r="J67" s="6"/>
      <c r="K67" s="6"/>
      <c r="L67" s="6"/>
      <c r="M67" s="6"/>
      <c r="N67" s="8">
        <v>2</v>
      </c>
      <c r="O67" s="6"/>
      <c r="P67" s="8">
        <v>0.8</v>
      </c>
      <c r="Q67" s="6"/>
      <c r="R67" s="6"/>
      <c r="S67" s="8">
        <v>2.8</v>
      </c>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8">
        <v>2.8</v>
      </c>
      <c r="BM67" s="6"/>
      <c r="BN67" s="6"/>
      <c r="BO67" s="6"/>
      <c r="BP67" s="6"/>
      <c r="BQ67" s="6"/>
      <c r="BR67" s="6"/>
      <c r="BS67" s="6"/>
      <c r="BT67" s="6"/>
      <c r="BU67" s="6"/>
      <c r="BV67" s="6"/>
      <c r="BW67" s="6"/>
      <c r="BX67" s="6"/>
      <c r="BY67" s="6"/>
      <c r="BZ67" s="6"/>
      <c r="CA67" s="6"/>
      <c r="CB67" s="6"/>
      <c r="CC67" s="6"/>
      <c r="CD67" s="6"/>
      <c r="CE67" s="6"/>
      <c r="CF67" s="6"/>
      <c r="CG67" s="9">
        <v>2.8</v>
      </c>
    </row>
    <row r="68" spans="1:85" x14ac:dyDescent="0.3">
      <c r="A68" s="3" t="str">
        <f t="shared" si="2"/>
        <v>ADDLearningCybercorps: Scholarships for Service (SFS)Total</v>
      </c>
      <c r="B68" s="6" t="s">
        <v>81</v>
      </c>
      <c r="C68" s="6" t="s">
        <v>133</v>
      </c>
      <c r="D68" s="6" t="s">
        <v>140</v>
      </c>
      <c r="E68" s="6" t="s">
        <v>24</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8">
        <v>63</v>
      </c>
      <c r="BN68" s="6"/>
      <c r="BO68" s="6"/>
      <c r="BP68" s="6"/>
      <c r="BQ68" s="6"/>
      <c r="BR68" s="8">
        <v>63</v>
      </c>
      <c r="BS68" s="8">
        <v>63</v>
      </c>
      <c r="BT68" s="6"/>
      <c r="BU68" s="6"/>
      <c r="BV68" s="6"/>
      <c r="BW68" s="6"/>
      <c r="BX68" s="6"/>
      <c r="BY68" s="6"/>
      <c r="BZ68" s="6"/>
      <c r="CA68" s="6"/>
      <c r="CB68" s="6"/>
      <c r="CC68" s="6"/>
      <c r="CD68" s="6"/>
      <c r="CE68" s="6"/>
      <c r="CF68" s="6"/>
      <c r="CG68" s="9">
        <v>63</v>
      </c>
    </row>
    <row r="69" spans="1:85" x14ac:dyDescent="0.3">
      <c r="A69" s="3" t="str">
        <f t="shared" si="2"/>
        <v>ADDLearningCyberTrainingTotal</v>
      </c>
      <c r="B69" s="6" t="s">
        <v>81</v>
      </c>
      <c r="C69" s="6" t="s">
        <v>133</v>
      </c>
      <c r="D69" s="6" t="s">
        <v>141</v>
      </c>
      <c r="E69" s="6" t="s">
        <v>24</v>
      </c>
      <c r="F69" s="6"/>
      <c r="G69" s="6"/>
      <c r="H69" s="6"/>
      <c r="I69" s="6"/>
      <c r="J69" s="6"/>
      <c r="K69" s="6"/>
      <c r="L69" s="6"/>
      <c r="M69" s="6"/>
      <c r="N69" s="6"/>
      <c r="O69" s="6"/>
      <c r="P69" s="6"/>
      <c r="Q69" s="8">
        <v>18</v>
      </c>
      <c r="R69" s="6"/>
      <c r="S69" s="8">
        <v>18</v>
      </c>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8">
        <v>18</v>
      </c>
      <c r="BM69" s="6"/>
      <c r="BN69" s="6"/>
      <c r="BO69" s="6"/>
      <c r="BP69" s="6"/>
      <c r="BQ69" s="6"/>
      <c r="BR69" s="6"/>
      <c r="BS69" s="6"/>
      <c r="BT69" s="6"/>
      <c r="BU69" s="6"/>
      <c r="BV69" s="6"/>
      <c r="BW69" s="6"/>
      <c r="BX69" s="6"/>
      <c r="BY69" s="6"/>
      <c r="BZ69" s="6"/>
      <c r="CA69" s="6"/>
      <c r="CB69" s="6"/>
      <c r="CC69" s="6"/>
      <c r="CD69" s="6"/>
      <c r="CE69" s="6"/>
      <c r="CF69" s="6"/>
      <c r="CG69" s="9">
        <v>18</v>
      </c>
    </row>
    <row r="70" spans="1:85" x14ac:dyDescent="0.3">
      <c r="A70" s="3" t="str">
        <f t="shared" si="2"/>
        <v>ADDLearningEntrepreneurial FellowsTotal</v>
      </c>
      <c r="B70" s="6" t="s">
        <v>81</v>
      </c>
      <c r="C70" s="6" t="s">
        <v>133</v>
      </c>
      <c r="D70" s="6" t="s">
        <v>142</v>
      </c>
      <c r="E70" s="6" t="s">
        <v>24</v>
      </c>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8">
        <v>10</v>
      </c>
      <c r="BA70" s="6"/>
      <c r="BB70" s="8">
        <v>10</v>
      </c>
      <c r="BC70" s="6"/>
      <c r="BD70" s="6"/>
      <c r="BE70" s="6"/>
      <c r="BF70" s="6"/>
      <c r="BG70" s="6"/>
      <c r="BH70" s="6"/>
      <c r="BI70" s="6"/>
      <c r="BJ70" s="6"/>
      <c r="BK70" s="6"/>
      <c r="BL70" s="8">
        <v>10</v>
      </c>
      <c r="BM70" s="6"/>
      <c r="BN70" s="6"/>
      <c r="BO70" s="6"/>
      <c r="BP70" s="6"/>
      <c r="BQ70" s="6"/>
      <c r="BR70" s="6"/>
      <c r="BS70" s="6"/>
      <c r="BT70" s="6"/>
      <c r="BU70" s="6"/>
      <c r="BV70" s="6"/>
      <c r="BW70" s="6"/>
      <c r="BX70" s="6"/>
      <c r="BY70" s="6"/>
      <c r="BZ70" s="6"/>
      <c r="CA70" s="6"/>
      <c r="CB70" s="6"/>
      <c r="CC70" s="6"/>
      <c r="CD70" s="6"/>
      <c r="CE70" s="6"/>
      <c r="CF70" s="6"/>
      <c r="CG70" s="9">
        <v>10</v>
      </c>
    </row>
    <row r="71" spans="1:85" x14ac:dyDescent="0.3">
      <c r="A71" s="3" t="str">
        <f t="shared" si="2"/>
        <v>ADDLearningExcellence Awards in Science &amp; Engineering (EASE)Total</v>
      </c>
      <c r="B71" s="6" t="s">
        <v>81</v>
      </c>
      <c r="C71" s="6" t="s">
        <v>133</v>
      </c>
      <c r="D71" s="6" t="s">
        <v>143</v>
      </c>
      <c r="E71" s="6" t="s">
        <v>24</v>
      </c>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8">
        <v>7.4</v>
      </c>
      <c r="BQ71" s="6"/>
      <c r="BR71" s="8">
        <v>7.4</v>
      </c>
      <c r="BS71" s="8">
        <v>7.4</v>
      </c>
      <c r="BT71" s="6"/>
      <c r="BU71" s="6"/>
      <c r="BV71" s="6"/>
      <c r="BW71" s="6"/>
      <c r="BX71" s="6"/>
      <c r="BY71" s="6"/>
      <c r="BZ71" s="6"/>
      <c r="CA71" s="6"/>
      <c r="CB71" s="6"/>
      <c r="CC71" s="6"/>
      <c r="CD71" s="6"/>
      <c r="CE71" s="6"/>
      <c r="CF71" s="6"/>
      <c r="CG71" s="9">
        <v>7.4</v>
      </c>
    </row>
    <row r="72" spans="1:85" x14ac:dyDescent="0.3">
      <c r="A72" s="3" t="str">
        <f t="shared" si="2"/>
        <v>ADDLearningGeosciences Disciplinary EducationTotal</v>
      </c>
      <c r="B72" s="6" t="s">
        <v>81</v>
      </c>
      <c r="C72" s="6" t="s">
        <v>133</v>
      </c>
      <c r="D72" s="6" t="s">
        <v>144</v>
      </c>
      <c r="E72" s="6" t="s">
        <v>24</v>
      </c>
      <c r="F72" s="6"/>
      <c r="G72" s="6"/>
      <c r="H72" s="6"/>
      <c r="I72" s="6"/>
      <c r="J72" s="6"/>
      <c r="K72" s="6"/>
      <c r="L72" s="6"/>
      <c r="M72" s="6"/>
      <c r="N72" s="6"/>
      <c r="O72" s="6"/>
      <c r="P72" s="6"/>
      <c r="Q72" s="6"/>
      <c r="R72" s="6"/>
      <c r="S72" s="6"/>
      <c r="T72" s="6"/>
      <c r="U72" s="6"/>
      <c r="V72" s="6"/>
      <c r="W72" s="6"/>
      <c r="X72" s="6"/>
      <c r="Y72" s="6"/>
      <c r="Z72" s="6"/>
      <c r="AA72" s="6"/>
      <c r="AB72" s="8">
        <v>0.11</v>
      </c>
      <c r="AC72" s="8">
        <v>0.4</v>
      </c>
      <c r="AD72" s="8">
        <v>0.28000000000000003</v>
      </c>
      <c r="AE72" s="8">
        <v>0.78</v>
      </c>
      <c r="AF72" s="6"/>
      <c r="AG72" s="6"/>
      <c r="AH72" s="8">
        <v>1.57</v>
      </c>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8">
        <v>1.57</v>
      </c>
      <c r="BM72" s="6"/>
      <c r="BN72" s="6"/>
      <c r="BO72" s="6"/>
      <c r="BP72" s="6"/>
      <c r="BQ72" s="6"/>
      <c r="BR72" s="6"/>
      <c r="BS72" s="6"/>
      <c r="BT72" s="6"/>
      <c r="BU72" s="6"/>
      <c r="BV72" s="6"/>
      <c r="BW72" s="6"/>
      <c r="BX72" s="6"/>
      <c r="BY72" s="6"/>
      <c r="BZ72" s="6"/>
      <c r="CA72" s="6"/>
      <c r="CB72" s="6"/>
      <c r="CC72" s="6"/>
      <c r="CD72" s="6"/>
      <c r="CE72" s="6"/>
      <c r="CF72" s="6"/>
      <c r="CG72" s="9">
        <v>1.57</v>
      </c>
    </row>
    <row r="73" spans="1:85" x14ac:dyDescent="0.3">
      <c r="A73" s="3" t="str">
        <f t="shared" ref="A73:A136" si="3">CONCATENATE(B73,C73,D73,E73)</f>
        <v>ADDLearningGeosciences Postdoctoral FellowshipsTotal</v>
      </c>
      <c r="B73" s="6" t="s">
        <v>81</v>
      </c>
      <c r="C73" s="6" t="s">
        <v>133</v>
      </c>
      <c r="D73" s="6" t="s">
        <v>145</v>
      </c>
      <c r="E73" s="6" t="s">
        <v>24</v>
      </c>
      <c r="F73" s="6"/>
      <c r="G73" s="6"/>
      <c r="H73" s="6"/>
      <c r="I73" s="6"/>
      <c r="J73" s="6"/>
      <c r="K73" s="6"/>
      <c r="L73" s="6"/>
      <c r="M73" s="6"/>
      <c r="N73" s="6"/>
      <c r="O73" s="6"/>
      <c r="P73" s="6"/>
      <c r="Q73" s="6"/>
      <c r="R73" s="6"/>
      <c r="S73" s="6"/>
      <c r="T73" s="6"/>
      <c r="U73" s="6"/>
      <c r="V73" s="6"/>
      <c r="W73" s="6"/>
      <c r="X73" s="6"/>
      <c r="Y73" s="6"/>
      <c r="Z73" s="6"/>
      <c r="AA73" s="6"/>
      <c r="AB73" s="8">
        <v>1</v>
      </c>
      <c r="AC73" s="8">
        <v>2.9</v>
      </c>
      <c r="AD73" s="8">
        <v>4</v>
      </c>
      <c r="AE73" s="8">
        <v>3</v>
      </c>
      <c r="AF73" s="6"/>
      <c r="AG73" s="6"/>
      <c r="AH73" s="8">
        <v>10.9</v>
      </c>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8">
        <v>10.9</v>
      </c>
      <c r="BM73" s="6"/>
      <c r="BN73" s="6"/>
      <c r="BO73" s="6"/>
      <c r="BP73" s="6"/>
      <c r="BQ73" s="6"/>
      <c r="BR73" s="6"/>
      <c r="BS73" s="6"/>
      <c r="BT73" s="6"/>
      <c r="BU73" s="6"/>
      <c r="BV73" s="6"/>
      <c r="BW73" s="6"/>
      <c r="BX73" s="6"/>
      <c r="BY73" s="6"/>
      <c r="BZ73" s="6"/>
      <c r="CA73" s="6"/>
      <c r="CB73" s="6"/>
      <c r="CC73" s="6"/>
      <c r="CD73" s="6"/>
      <c r="CE73" s="6"/>
      <c r="CF73" s="6"/>
      <c r="CG73" s="9">
        <v>10.9</v>
      </c>
    </row>
    <row r="74" spans="1:85" x14ac:dyDescent="0.3">
      <c r="A74" s="3" t="str">
        <f t="shared" si="3"/>
        <v>ADDLearningGraduate Research Fellowship Program (GRFP)Total</v>
      </c>
      <c r="B74" s="6" t="s">
        <v>81</v>
      </c>
      <c r="C74" s="6" t="s">
        <v>133</v>
      </c>
      <c r="D74" s="6" t="s">
        <v>146</v>
      </c>
      <c r="E74" s="6" t="s">
        <v>24</v>
      </c>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8">
        <v>0</v>
      </c>
      <c r="BG74" s="8">
        <v>0</v>
      </c>
      <c r="BH74" s="6"/>
      <c r="BI74" s="6"/>
      <c r="BJ74" s="6"/>
      <c r="BK74" s="6"/>
      <c r="BL74" s="8">
        <v>0</v>
      </c>
      <c r="BM74" s="8">
        <v>290</v>
      </c>
      <c r="BN74" s="6"/>
      <c r="BO74" s="6"/>
      <c r="BP74" s="6"/>
      <c r="BQ74" s="6"/>
      <c r="BR74" s="8">
        <v>290</v>
      </c>
      <c r="BS74" s="8">
        <v>290</v>
      </c>
      <c r="BT74" s="6"/>
      <c r="BU74" s="6"/>
      <c r="BV74" s="6"/>
      <c r="BW74" s="6"/>
      <c r="BX74" s="6"/>
      <c r="BY74" s="6"/>
      <c r="BZ74" s="6"/>
      <c r="CA74" s="6"/>
      <c r="CB74" s="6"/>
      <c r="CC74" s="6"/>
      <c r="CD74" s="6"/>
      <c r="CE74" s="6"/>
      <c r="CF74" s="6"/>
      <c r="CG74" s="9">
        <v>290</v>
      </c>
    </row>
    <row r="75" spans="1:85" x14ac:dyDescent="0.3">
      <c r="A75" s="3" t="str">
        <f t="shared" si="3"/>
        <v>ADDLearningInternational Research Experiences for Students (IRES)Total</v>
      </c>
      <c r="B75" s="6" t="s">
        <v>81</v>
      </c>
      <c r="C75" s="6" t="s">
        <v>133</v>
      </c>
      <c r="D75" s="6" t="s">
        <v>147</v>
      </c>
      <c r="E75" s="6" t="s">
        <v>24</v>
      </c>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8">
        <v>6.95</v>
      </c>
      <c r="BD75" s="8">
        <v>6.95</v>
      </c>
      <c r="BE75" s="6"/>
      <c r="BF75" s="6"/>
      <c r="BG75" s="6"/>
      <c r="BH75" s="6"/>
      <c r="BI75" s="6"/>
      <c r="BJ75" s="6"/>
      <c r="BK75" s="6"/>
      <c r="BL75" s="8">
        <v>6.95</v>
      </c>
      <c r="BM75" s="6"/>
      <c r="BN75" s="6"/>
      <c r="BO75" s="6"/>
      <c r="BP75" s="6"/>
      <c r="BQ75" s="6"/>
      <c r="BR75" s="6"/>
      <c r="BS75" s="6"/>
      <c r="BT75" s="6"/>
      <c r="BU75" s="6"/>
      <c r="BV75" s="6"/>
      <c r="BW75" s="6"/>
      <c r="BX75" s="6"/>
      <c r="BY75" s="6"/>
      <c r="BZ75" s="6"/>
      <c r="CA75" s="6"/>
      <c r="CB75" s="6"/>
      <c r="CC75" s="6"/>
      <c r="CD75" s="6"/>
      <c r="CE75" s="6"/>
      <c r="CF75" s="6"/>
      <c r="CG75" s="9">
        <v>6.95</v>
      </c>
    </row>
    <row r="76" spans="1:85" x14ac:dyDescent="0.3">
      <c r="A76" s="3" t="str">
        <f t="shared" si="3"/>
        <v>ADDLearningLearning Stewardship OffsetTotal</v>
      </c>
      <c r="B76" s="6" t="s">
        <v>81</v>
      </c>
      <c r="C76" s="6" t="s">
        <v>133</v>
      </c>
      <c r="D76" s="6" t="s">
        <v>148</v>
      </c>
      <c r="E76" s="6" t="s">
        <v>24</v>
      </c>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8">
        <v>-0.1</v>
      </c>
      <c r="BG76" s="8">
        <v>-0.1</v>
      </c>
      <c r="BH76" s="6"/>
      <c r="BI76" s="6"/>
      <c r="BJ76" s="6"/>
      <c r="BK76" s="6"/>
      <c r="BL76" s="8">
        <v>-0.1</v>
      </c>
      <c r="BM76" s="6"/>
      <c r="BN76" s="6"/>
      <c r="BO76" s="6"/>
      <c r="BP76" s="6"/>
      <c r="BQ76" s="8">
        <v>-14.18</v>
      </c>
      <c r="BR76" s="8">
        <v>-14.18</v>
      </c>
      <c r="BS76" s="8">
        <v>-14.18</v>
      </c>
      <c r="BT76" s="6"/>
      <c r="BU76" s="6"/>
      <c r="BV76" s="6"/>
      <c r="BW76" s="6"/>
      <c r="BX76" s="6"/>
      <c r="BY76" s="6"/>
      <c r="BZ76" s="6"/>
      <c r="CA76" s="6"/>
      <c r="CB76" s="6"/>
      <c r="CC76" s="6"/>
      <c r="CD76" s="6"/>
      <c r="CE76" s="6"/>
      <c r="CF76" s="6"/>
      <c r="CG76" s="9">
        <v>-14.28</v>
      </c>
    </row>
    <row r="77" spans="1:85" x14ac:dyDescent="0.3">
      <c r="A77" s="3" t="str">
        <f t="shared" si="3"/>
        <v>ADDLearningLouis Stokes Alliances for Minority Participation (LSAMP)Total</v>
      </c>
      <c r="B77" s="6" t="s">
        <v>81</v>
      </c>
      <c r="C77" s="6" t="s">
        <v>133</v>
      </c>
      <c r="D77" s="6" t="s">
        <v>149</v>
      </c>
      <c r="E77" s="6" t="s">
        <v>24</v>
      </c>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8">
        <v>51.5</v>
      </c>
      <c r="BQ77" s="6"/>
      <c r="BR77" s="8">
        <v>51.5</v>
      </c>
      <c r="BS77" s="8">
        <v>51.5</v>
      </c>
      <c r="BT77" s="6"/>
      <c r="BU77" s="6"/>
      <c r="BV77" s="6"/>
      <c r="BW77" s="6"/>
      <c r="BX77" s="6"/>
      <c r="BY77" s="6"/>
      <c r="BZ77" s="6"/>
      <c r="CA77" s="6"/>
      <c r="CB77" s="6"/>
      <c r="CC77" s="6"/>
      <c r="CD77" s="6"/>
      <c r="CE77" s="6"/>
      <c r="CF77" s="6"/>
      <c r="CG77" s="9">
        <v>51.5</v>
      </c>
    </row>
    <row r="78" spans="1:85" x14ac:dyDescent="0.3">
      <c r="A78" s="3" t="str">
        <f t="shared" si="3"/>
        <v>ADDLearningMathematical Sciences Postdoctoral Research Fellowships (MSPRF)Total</v>
      </c>
      <c r="B78" s="6" t="s">
        <v>81</v>
      </c>
      <c r="C78" s="6" t="s">
        <v>133</v>
      </c>
      <c r="D78" s="6" t="s">
        <v>150</v>
      </c>
      <c r="E78" s="6" t="s">
        <v>24</v>
      </c>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8">
        <v>6.4</v>
      </c>
      <c r="AM78" s="8">
        <v>0</v>
      </c>
      <c r="AN78" s="6"/>
      <c r="AO78" s="6"/>
      <c r="AP78" s="8">
        <v>6.4</v>
      </c>
      <c r="AQ78" s="6"/>
      <c r="AR78" s="6"/>
      <c r="AS78" s="6"/>
      <c r="AT78" s="6"/>
      <c r="AU78" s="6"/>
      <c r="AV78" s="6"/>
      <c r="AW78" s="6"/>
      <c r="AX78" s="6"/>
      <c r="AY78" s="6"/>
      <c r="AZ78" s="6"/>
      <c r="BA78" s="6"/>
      <c r="BB78" s="6"/>
      <c r="BC78" s="6"/>
      <c r="BD78" s="6"/>
      <c r="BE78" s="6"/>
      <c r="BF78" s="6"/>
      <c r="BG78" s="6"/>
      <c r="BH78" s="6"/>
      <c r="BI78" s="6"/>
      <c r="BJ78" s="6"/>
      <c r="BK78" s="6"/>
      <c r="BL78" s="8">
        <v>6.4</v>
      </c>
      <c r="BM78" s="6"/>
      <c r="BN78" s="6"/>
      <c r="BO78" s="6"/>
      <c r="BP78" s="6"/>
      <c r="BQ78" s="6"/>
      <c r="BR78" s="6"/>
      <c r="BS78" s="6"/>
      <c r="BT78" s="6"/>
      <c r="BU78" s="6"/>
      <c r="BV78" s="6"/>
      <c r="BW78" s="6"/>
      <c r="BX78" s="6"/>
      <c r="BY78" s="6"/>
      <c r="BZ78" s="6"/>
      <c r="CA78" s="6"/>
      <c r="CB78" s="6"/>
      <c r="CC78" s="6"/>
      <c r="CD78" s="6"/>
      <c r="CE78" s="6"/>
      <c r="CF78" s="6"/>
      <c r="CG78" s="9">
        <v>6.4</v>
      </c>
    </row>
    <row r="79" spans="1:85" x14ac:dyDescent="0.3">
      <c r="A79" s="3" t="str">
        <f t="shared" si="3"/>
        <v>ADDLearningMPS ASCEND Postdoctoral Research FellowshipsTotal</v>
      </c>
      <c r="B79" s="6" t="s">
        <v>81</v>
      </c>
      <c r="C79" s="6" t="s">
        <v>133</v>
      </c>
      <c r="D79" s="6" t="s">
        <v>151</v>
      </c>
      <c r="E79" s="6" t="s">
        <v>24</v>
      </c>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8">
        <v>0</v>
      </c>
      <c r="AM79" s="8">
        <v>1</v>
      </c>
      <c r="AN79" s="6"/>
      <c r="AO79" s="6"/>
      <c r="AP79" s="8">
        <v>1</v>
      </c>
      <c r="AQ79" s="6"/>
      <c r="AR79" s="6"/>
      <c r="AS79" s="6"/>
      <c r="AT79" s="6"/>
      <c r="AU79" s="6"/>
      <c r="AV79" s="6"/>
      <c r="AW79" s="6"/>
      <c r="AX79" s="6"/>
      <c r="AY79" s="6"/>
      <c r="AZ79" s="6"/>
      <c r="BA79" s="6"/>
      <c r="BB79" s="6"/>
      <c r="BC79" s="6"/>
      <c r="BD79" s="6"/>
      <c r="BE79" s="6"/>
      <c r="BF79" s="6"/>
      <c r="BG79" s="6"/>
      <c r="BH79" s="6"/>
      <c r="BI79" s="6"/>
      <c r="BJ79" s="6"/>
      <c r="BK79" s="6"/>
      <c r="BL79" s="8">
        <v>1</v>
      </c>
      <c r="BM79" s="6"/>
      <c r="BN79" s="6"/>
      <c r="BO79" s="6"/>
      <c r="BP79" s="6"/>
      <c r="BQ79" s="6"/>
      <c r="BR79" s="6"/>
      <c r="BS79" s="6"/>
      <c r="BT79" s="6"/>
      <c r="BU79" s="6"/>
      <c r="BV79" s="6"/>
      <c r="BW79" s="6"/>
      <c r="BX79" s="6"/>
      <c r="BY79" s="6"/>
      <c r="BZ79" s="6"/>
      <c r="CA79" s="6"/>
      <c r="CB79" s="6"/>
      <c r="CC79" s="6"/>
      <c r="CD79" s="6"/>
      <c r="CE79" s="6"/>
      <c r="CF79" s="6"/>
      <c r="CG79" s="9">
        <v>1</v>
      </c>
    </row>
    <row r="80" spans="1:85" x14ac:dyDescent="0.3">
      <c r="A80" s="3" t="str">
        <f t="shared" si="3"/>
        <v>ADDLearningNSF Research Traineeship (NRT)Total</v>
      </c>
      <c r="B80" s="6" t="s">
        <v>81</v>
      </c>
      <c r="C80" s="6" t="s">
        <v>133</v>
      </c>
      <c r="D80" s="6" t="s">
        <v>152</v>
      </c>
      <c r="E80" s="6" t="s">
        <v>24</v>
      </c>
      <c r="F80" s="6"/>
      <c r="G80" s="6"/>
      <c r="H80" s="6"/>
      <c r="I80" s="6"/>
      <c r="J80" s="6"/>
      <c r="K80" s="6"/>
      <c r="L80" s="6"/>
      <c r="M80" s="8">
        <v>0</v>
      </c>
      <c r="N80" s="6"/>
      <c r="O80" s="6"/>
      <c r="P80" s="6"/>
      <c r="Q80" s="6"/>
      <c r="R80" s="6"/>
      <c r="S80" s="8">
        <v>0</v>
      </c>
      <c r="T80" s="6"/>
      <c r="U80" s="6"/>
      <c r="V80" s="6"/>
      <c r="W80" s="8">
        <v>0</v>
      </c>
      <c r="X80" s="6"/>
      <c r="Y80" s="6"/>
      <c r="Z80" s="6"/>
      <c r="AA80" s="8">
        <v>0</v>
      </c>
      <c r="AB80" s="6"/>
      <c r="AC80" s="6"/>
      <c r="AD80" s="6"/>
      <c r="AE80" s="8">
        <v>0</v>
      </c>
      <c r="AF80" s="6"/>
      <c r="AG80" s="6"/>
      <c r="AH80" s="8">
        <v>0</v>
      </c>
      <c r="AI80" s="8">
        <v>0</v>
      </c>
      <c r="AJ80" s="8">
        <v>0</v>
      </c>
      <c r="AK80" s="6"/>
      <c r="AL80" s="8">
        <v>0</v>
      </c>
      <c r="AM80" s="8">
        <v>0</v>
      </c>
      <c r="AN80" s="8">
        <v>0</v>
      </c>
      <c r="AO80" s="6"/>
      <c r="AP80" s="8">
        <v>0</v>
      </c>
      <c r="AQ80" s="8">
        <v>0</v>
      </c>
      <c r="AR80" s="6"/>
      <c r="AS80" s="8">
        <v>0</v>
      </c>
      <c r="AT80" s="8">
        <v>0</v>
      </c>
      <c r="AU80" s="6"/>
      <c r="AV80" s="8">
        <v>0</v>
      </c>
      <c r="AW80" s="6"/>
      <c r="AX80" s="6"/>
      <c r="AY80" s="6"/>
      <c r="AZ80" s="6"/>
      <c r="BA80" s="6"/>
      <c r="BB80" s="6"/>
      <c r="BC80" s="6"/>
      <c r="BD80" s="6"/>
      <c r="BE80" s="6"/>
      <c r="BF80" s="8">
        <v>0</v>
      </c>
      <c r="BG80" s="8">
        <v>0</v>
      </c>
      <c r="BH80" s="6"/>
      <c r="BI80" s="6"/>
      <c r="BJ80" s="6"/>
      <c r="BK80" s="6"/>
      <c r="BL80" s="8">
        <v>0</v>
      </c>
      <c r="BM80" s="8">
        <v>60</v>
      </c>
      <c r="BN80" s="6"/>
      <c r="BO80" s="6"/>
      <c r="BP80" s="6"/>
      <c r="BQ80" s="6"/>
      <c r="BR80" s="8">
        <v>60</v>
      </c>
      <c r="BS80" s="8">
        <v>60</v>
      </c>
      <c r="BT80" s="6"/>
      <c r="BU80" s="6"/>
      <c r="BV80" s="6"/>
      <c r="BW80" s="6"/>
      <c r="BX80" s="6"/>
      <c r="BY80" s="6"/>
      <c r="BZ80" s="6"/>
      <c r="CA80" s="6"/>
      <c r="CB80" s="6"/>
      <c r="CC80" s="6"/>
      <c r="CD80" s="6"/>
      <c r="CE80" s="6"/>
      <c r="CF80" s="6"/>
      <c r="CG80" s="9">
        <v>60</v>
      </c>
    </row>
    <row r="81" spans="1:85" x14ac:dyDescent="0.3">
      <c r="A81" s="3" t="str">
        <f t="shared" si="3"/>
        <v>ADDLearningPartnerships in Astronomy &amp; Astrophysics Research Education (PAARE)Total</v>
      </c>
      <c r="B81" s="6" t="s">
        <v>81</v>
      </c>
      <c r="C81" s="6" t="s">
        <v>133</v>
      </c>
      <c r="D81" s="6" t="s">
        <v>153</v>
      </c>
      <c r="E81" s="6" t="s">
        <v>24</v>
      </c>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8">
        <v>1</v>
      </c>
      <c r="AJ81" s="6"/>
      <c r="AK81" s="6"/>
      <c r="AL81" s="6"/>
      <c r="AM81" s="6"/>
      <c r="AN81" s="6"/>
      <c r="AO81" s="6"/>
      <c r="AP81" s="8">
        <v>1</v>
      </c>
      <c r="AQ81" s="6"/>
      <c r="AR81" s="6"/>
      <c r="AS81" s="6"/>
      <c r="AT81" s="6"/>
      <c r="AU81" s="6"/>
      <c r="AV81" s="6"/>
      <c r="AW81" s="6"/>
      <c r="AX81" s="6"/>
      <c r="AY81" s="6"/>
      <c r="AZ81" s="6"/>
      <c r="BA81" s="6"/>
      <c r="BB81" s="6"/>
      <c r="BC81" s="6"/>
      <c r="BD81" s="6"/>
      <c r="BE81" s="6"/>
      <c r="BF81" s="6"/>
      <c r="BG81" s="6"/>
      <c r="BH81" s="6"/>
      <c r="BI81" s="6"/>
      <c r="BJ81" s="6"/>
      <c r="BK81" s="6"/>
      <c r="BL81" s="8">
        <v>1</v>
      </c>
      <c r="BM81" s="6"/>
      <c r="BN81" s="6"/>
      <c r="BO81" s="6"/>
      <c r="BP81" s="6"/>
      <c r="BQ81" s="6"/>
      <c r="BR81" s="6"/>
      <c r="BS81" s="6"/>
      <c r="BT81" s="6"/>
      <c r="BU81" s="6"/>
      <c r="BV81" s="6"/>
      <c r="BW81" s="6"/>
      <c r="BX81" s="6"/>
      <c r="BY81" s="6"/>
      <c r="BZ81" s="6"/>
      <c r="CA81" s="6"/>
      <c r="CB81" s="6"/>
      <c r="CC81" s="6"/>
      <c r="CD81" s="6"/>
      <c r="CE81" s="6"/>
      <c r="CF81" s="6"/>
      <c r="CG81" s="9">
        <v>1</v>
      </c>
    </row>
    <row r="82" spans="1:85" x14ac:dyDescent="0.3">
      <c r="A82" s="3" t="str">
        <f t="shared" si="3"/>
        <v>ADDLearningPostdoctoral Research Fellowships in Biology (PRFB)Total</v>
      </c>
      <c r="B82" s="6" t="s">
        <v>81</v>
      </c>
      <c r="C82" s="6" t="s">
        <v>133</v>
      </c>
      <c r="D82" s="6" t="s">
        <v>154</v>
      </c>
      <c r="E82" s="6" t="s">
        <v>24</v>
      </c>
      <c r="F82" s="8">
        <v>12</v>
      </c>
      <c r="G82" s="8">
        <v>0.5</v>
      </c>
      <c r="H82" s="8">
        <v>0</v>
      </c>
      <c r="I82" s="8">
        <v>3.2</v>
      </c>
      <c r="J82" s="8">
        <v>0</v>
      </c>
      <c r="K82" s="6"/>
      <c r="L82" s="8">
        <v>15.7</v>
      </c>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8">
        <v>15.7</v>
      </c>
      <c r="BM82" s="6"/>
      <c r="BN82" s="6"/>
      <c r="BO82" s="6"/>
      <c r="BP82" s="6"/>
      <c r="BQ82" s="6"/>
      <c r="BR82" s="6"/>
      <c r="BS82" s="6"/>
      <c r="BT82" s="6"/>
      <c r="BU82" s="6"/>
      <c r="BV82" s="6"/>
      <c r="BW82" s="6"/>
      <c r="BX82" s="6"/>
      <c r="BY82" s="6"/>
      <c r="BZ82" s="6"/>
      <c r="CA82" s="6"/>
      <c r="CB82" s="6"/>
      <c r="CC82" s="6"/>
      <c r="CD82" s="6"/>
      <c r="CE82" s="6"/>
      <c r="CF82" s="6"/>
      <c r="CG82" s="9">
        <v>15.7</v>
      </c>
    </row>
    <row r="83" spans="1:85" x14ac:dyDescent="0.3">
      <c r="A83" s="3" t="str">
        <f t="shared" si="3"/>
        <v>ADDLearningProject &amp; Program Evaluation (PPE)Total</v>
      </c>
      <c r="B83" s="6" t="s">
        <v>81</v>
      </c>
      <c r="C83" s="6" t="s">
        <v>133</v>
      </c>
      <c r="D83" s="6" t="s">
        <v>155</v>
      </c>
      <c r="E83" s="6" t="s">
        <v>24</v>
      </c>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8">
        <v>0</v>
      </c>
      <c r="BN83" s="8">
        <v>0</v>
      </c>
      <c r="BO83" s="6"/>
      <c r="BP83" s="6"/>
      <c r="BQ83" s="6"/>
      <c r="BR83" s="8">
        <v>0</v>
      </c>
      <c r="BS83" s="8">
        <v>0</v>
      </c>
      <c r="BT83" s="6"/>
      <c r="BU83" s="6"/>
      <c r="BV83" s="6"/>
      <c r="BW83" s="6"/>
      <c r="BX83" s="6"/>
      <c r="BY83" s="6"/>
      <c r="BZ83" s="6"/>
      <c r="CA83" s="6"/>
      <c r="CB83" s="6"/>
      <c r="CC83" s="6"/>
      <c r="CD83" s="6"/>
      <c r="CE83" s="6"/>
      <c r="CF83" s="6"/>
      <c r="CG83" s="9">
        <v>0</v>
      </c>
    </row>
    <row r="84" spans="1:85" x14ac:dyDescent="0.3">
      <c r="A84" s="3" t="str">
        <f t="shared" si="3"/>
        <v>ADDLearningResearch and Mentoring for Postbaccalaureates in Biological Sciences (RaMP)Total</v>
      </c>
      <c r="B84" s="6" t="s">
        <v>81</v>
      </c>
      <c r="C84" s="6" t="s">
        <v>133</v>
      </c>
      <c r="D84" s="6" t="s">
        <v>156</v>
      </c>
      <c r="E84" s="6" t="s">
        <v>24</v>
      </c>
      <c r="F84" s="8">
        <v>7.5</v>
      </c>
      <c r="G84" s="8">
        <v>7.5</v>
      </c>
      <c r="H84" s="6"/>
      <c r="I84" s="8">
        <v>7.5</v>
      </c>
      <c r="J84" s="8">
        <v>7.5</v>
      </c>
      <c r="K84" s="6"/>
      <c r="L84" s="8">
        <v>30</v>
      </c>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8">
        <v>30</v>
      </c>
      <c r="BM84" s="6"/>
      <c r="BN84" s="6"/>
      <c r="BO84" s="6"/>
      <c r="BP84" s="6"/>
      <c r="BQ84" s="6"/>
      <c r="BR84" s="6"/>
      <c r="BS84" s="6"/>
      <c r="BT84" s="6"/>
      <c r="BU84" s="6"/>
      <c r="BV84" s="6"/>
      <c r="BW84" s="6"/>
      <c r="BX84" s="6"/>
      <c r="BY84" s="6"/>
      <c r="BZ84" s="6"/>
      <c r="CA84" s="6"/>
      <c r="CB84" s="6"/>
      <c r="CC84" s="6"/>
      <c r="CD84" s="6"/>
      <c r="CE84" s="6"/>
      <c r="CF84" s="6"/>
      <c r="CG84" s="9">
        <v>30</v>
      </c>
    </row>
    <row r="85" spans="1:85" x14ac:dyDescent="0.3">
      <c r="A85" s="3" t="str">
        <f t="shared" si="3"/>
        <v>ADDLearningResearch Experiences for Teachers (RET)Total</v>
      </c>
      <c r="B85" s="6" t="s">
        <v>81</v>
      </c>
      <c r="C85" s="6" t="s">
        <v>133</v>
      </c>
      <c r="D85" s="6" t="s">
        <v>157</v>
      </c>
      <c r="E85" s="6" t="s">
        <v>24</v>
      </c>
      <c r="F85" s="8">
        <v>0.94</v>
      </c>
      <c r="G85" s="8">
        <v>0.94</v>
      </c>
      <c r="H85" s="8">
        <v>0.94</v>
      </c>
      <c r="I85" s="8">
        <v>0.94</v>
      </c>
      <c r="J85" s="8">
        <v>0.94</v>
      </c>
      <c r="K85" s="6"/>
      <c r="L85" s="8">
        <v>4.7</v>
      </c>
      <c r="M85" s="8">
        <v>0.6</v>
      </c>
      <c r="N85" s="8">
        <v>0.6</v>
      </c>
      <c r="O85" s="8">
        <v>0.6</v>
      </c>
      <c r="P85" s="6"/>
      <c r="Q85" s="6"/>
      <c r="R85" s="6"/>
      <c r="S85" s="8">
        <v>1.8</v>
      </c>
      <c r="T85" s="6"/>
      <c r="U85" s="6"/>
      <c r="V85" s="6"/>
      <c r="W85" s="8">
        <v>4.5</v>
      </c>
      <c r="X85" s="6"/>
      <c r="Y85" s="6"/>
      <c r="Z85" s="6"/>
      <c r="AA85" s="8">
        <v>4.5</v>
      </c>
      <c r="AB85" s="6"/>
      <c r="AC85" s="6"/>
      <c r="AD85" s="6"/>
      <c r="AE85" s="6"/>
      <c r="AF85" s="8">
        <v>0</v>
      </c>
      <c r="AG85" s="6"/>
      <c r="AH85" s="8">
        <v>0</v>
      </c>
      <c r="AI85" s="6"/>
      <c r="AJ85" s="8">
        <v>0.02</v>
      </c>
      <c r="AK85" s="8">
        <v>0</v>
      </c>
      <c r="AL85" s="6"/>
      <c r="AM85" s="6"/>
      <c r="AN85" s="8">
        <v>0.1</v>
      </c>
      <c r="AO85" s="6"/>
      <c r="AP85" s="8">
        <v>0.12</v>
      </c>
      <c r="AQ85" s="6"/>
      <c r="AR85" s="6"/>
      <c r="AS85" s="6"/>
      <c r="AT85" s="6"/>
      <c r="AU85" s="6"/>
      <c r="AV85" s="6"/>
      <c r="AW85" s="6"/>
      <c r="AX85" s="6"/>
      <c r="AY85" s="6"/>
      <c r="AZ85" s="6"/>
      <c r="BA85" s="6"/>
      <c r="BB85" s="6"/>
      <c r="BC85" s="6"/>
      <c r="BD85" s="6"/>
      <c r="BE85" s="6"/>
      <c r="BF85" s="6"/>
      <c r="BG85" s="6"/>
      <c r="BH85" s="6"/>
      <c r="BI85" s="6"/>
      <c r="BJ85" s="6"/>
      <c r="BK85" s="6"/>
      <c r="BL85" s="8">
        <v>11.12</v>
      </c>
      <c r="BM85" s="6"/>
      <c r="BN85" s="6"/>
      <c r="BO85" s="6"/>
      <c r="BP85" s="6"/>
      <c r="BQ85" s="6"/>
      <c r="BR85" s="6"/>
      <c r="BS85" s="6"/>
      <c r="BT85" s="6"/>
      <c r="BU85" s="6"/>
      <c r="BV85" s="6"/>
      <c r="BW85" s="6"/>
      <c r="BX85" s="6"/>
      <c r="BY85" s="6"/>
      <c r="BZ85" s="6"/>
      <c r="CA85" s="6"/>
      <c r="CB85" s="6"/>
      <c r="CC85" s="6"/>
      <c r="CD85" s="6"/>
      <c r="CE85" s="6"/>
      <c r="CF85" s="6"/>
      <c r="CG85" s="9">
        <v>11.12</v>
      </c>
    </row>
    <row r="86" spans="1:85" x14ac:dyDescent="0.3">
      <c r="A86" s="3" t="str">
        <f t="shared" si="3"/>
        <v>ADDLearningResearch Experiences for Undergraduates (REU) SitesTotal</v>
      </c>
      <c r="B86" s="6" t="s">
        <v>81</v>
      </c>
      <c r="C86" s="6" t="s">
        <v>133</v>
      </c>
      <c r="D86" s="6" t="s">
        <v>158</v>
      </c>
      <c r="E86" s="6" t="s">
        <v>24</v>
      </c>
      <c r="F86" s="8">
        <v>10</v>
      </c>
      <c r="G86" s="6"/>
      <c r="H86" s="6"/>
      <c r="I86" s="8">
        <v>0</v>
      </c>
      <c r="J86" s="8">
        <v>0</v>
      </c>
      <c r="K86" s="6"/>
      <c r="L86" s="8">
        <v>10</v>
      </c>
      <c r="M86" s="8">
        <v>3</v>
      </c>
      <c r="N86" s="8">
        <v>3</v>
      </c>
      <c r="O86" s="8">
        <v>3</v>
      </c>
      <c r="P86" s="6"/>
      <c r="Q86" s="8">
        <v>1</v>
      </c>
      <c r="R86" s="6"/>
      <c r="S86" s="8">
        <v>10</v>
      </c>
      <c r="T86" s="6"/>
      <c r="U86" s="6"/>
      <c r="V86" s="6"/>
      <c r="W86" s="8">
        <v>11.25</v>
      </c>
      <c r="X86" s="6"/>
      <c r="Y86" s="6"/>
      <c r="Z86" s="6"/>
      <c r="AA86" s="8">
        <v>11.25</v>
      </c>
      <c r="AB86" s="8">
        <v>1.9</v>
      </c>
      <c r="AC86" s="8">
        <v>3.11</v>
      </c>
      <c r="AD86" s="8">
        <v>4.3</v>
      </c>
      <c r="AE86" s="8">
        <v>0.1</v>
      </c>
      <c r="AF86" s="8">
        <v>0</v>
      </c>
      <c r="AG86" s="6"/>
      <c r="AH86" s="8">
        <v>9.41</v>
      </c>
      <c r="AI86" s="8">
        <v>2</v>
      </c>
      <c r="AJ86" s="8">
        <v>4</v>
      </c>
      <c r="AK86" s="8">
        <v>2.5</v>
      </c>
      <c r="AL86" s="8">
        <v>4</v>
      </c>
      <c r="AM86" s="8">
        <v>0</v>
      </c>
      <c r="AN86" s="8">
        <v>4.42</v>
      </c>
      <c r="AO86" s="6"/>
      <c r="AP86" s="8">
        <v>16.920000000000002</v>
      </c>
      <c r="AQ86" s="6"/>
      <c r="AR86" s="6"/>
      <c r="AS86" s="8">
        <v>5</v>
      </c>
      <c r="AT86" s="6"/>
      <c r="AU86" s="6"/>
      <c r="AV86" s="8">
        <v>5</v>
      </c>
      <c r="AW86" s="6"/>
      <c r="AX86" s="6"/>
      <c r="AY86" s="6"/>
      <c r="AZ86" s="6"/>
      <c r="BA86" s="6"/>
      <c r="BB86" s="6"/>
      <c r="BC86" s="6"/>
      <c r="BD86" s="6"/>
      <c r="BE86" s="6"/>
      <c r="BF86" s="6"/>
      <c r="BG86" s="6"/>
      <c r="BH86" s="6"/>
      <c r="BI86" s="6"/>
      <c r="BJ86" s="6"/>
      <c r="BK86" s="6"/>
      <c r="BL86" s="8">
        <v>62.58</v>
      </c>
      <c r="BM86" s="6"/>
      <c r="BN86" s="6"/>
      <c r="BO86" s="6"/>
      <c r="BP86" s="6"/>
      <c r="BQ86" s="6"/>
      <c r="BR86" s="6"/>
      <c r="BS86" s="6"/>
      <c r="BT86" s="6"/>
      <c r="BU86" s="6"/>
      <c r="BV86" s="6"/>
      <c r="BW86" s="6"/>
      <c r="BX86" s="6"/>
      <c r="BY86" s="6"/>
      <c r="BZ86" s="6"/>
      <c r="CA86" s="6"/>
      <c r="CB86" s="6"/>
      <c r="CC86" s="6"/>
      <c r="CD86" s="6"/>
      <c r="CE86" s="6"/>
      <c r="CF86" s="6"/>
      <c r="CG86" s="9">
        <v>62.58</v>
      </c>
    </row>
    <row r="87" spans="1:85" x14ac:dyDescent="0.3">
      <c r="A87" s="3" t="str">
        <f t="shared" si="3"/>
        <v>ADDLearningResearch Experiences for Undergraduates (REU) SupplementsTotal</v>
      </c>
      <c r="B87" s="6" t="s">
        <v>81</v>
      </c>
      <c r="C87" s="6" t="s">
        <v>133</v>
      </c>
      <c r="D87" s="6" t="s">
        <v>159</v>
      </c>
      <c r="E87" s="6" t="s">
        <v>24</v>
      </c>
      <c r="F87" s="8">
        <v>0</v>
      </c>
      <c r="G87" s="8">
        <v>1.5</v>
      </c>
      <c r="H87" s="6"/>
      <c r="I87" s="8">
        <v>0.8</v>
      </c>
      <c r="J87" s="8">
        <v>1</v>
      </c>
      <c r="K87" s="6"/>
      <c r="L87" s="8">
        <v>3.3</v>
      </c>
      <c r="M87" s="8">
        <v>1.2</v>
      </c>
      <c r="N87" s="8">
        <v>2</v>
      </c>
      <c r="O87" s="8">
        <v>1.6</v>
      </c>
      <c r="P87" s="8">
        <v>3.02</v>
      </c>
      <c r="Q87" s="8">
        <v>0.2</v>
      </c>
      <c r="R87" s="6"/>
      <c r="S87" s="8">
        <v>8.02</v>
      </c>
      <c r="T87" s="8">
        <v>1.5</v>
      </c>
      <c r="U87" s="8">
        <v>2.95</v>
      </c>
      <c r="V87" s="8">
        <v>0.9</v>
      </c>
      <c r="W87" s="8">
        <v>0.3</v>
      </c>
      <c r="X87" s="8">
        <v>0.15</v>
      </c>
      <c r="Y87" s="8">
        <v>0</v>
      </c>
      <c r="Z87" s="6"/>
      <c r="AA87" s="8">
        <v>5.8</v>
      </c>
      <c r="AB87" s="8">
        <v>0.13</v>
      </c>
      <c r="AC87" s="8">
        <v>0.3</v>
      </c>
      <c r="AD87" s="8">
        <v>0.55000000000000004</v>
      </c>
      <c r="AE87" s="8">
        <v>0.04</v>
      </c>
      <c r="AF87" s="6"/>
      <c r="AG87" s="6"/>
      <c r="AH87" s="8">
        <v>1.02</v>
      </c>
      <c r="AI87" s="8">
        <v>0.2</v>
      </c>
      <c r="AJ87" s="8">
        <v>0.5</v>
      </c>
      <c r="AK87" s="8">
        <v>0</v>
      </c>
      <c r="AL87" s="8">
        <v>0.5</v>
      </c>
      <c r="AM87" s="6"/>
      <c r="AN87" s="8">
        <v>0.4</v>
      </c>
      <c r="AO87" s="6"/>
      <c r="AP87" s="8">
        <v>1.6</v>
      </c>
      <c r="AQ87" s="8">
        <v>0.44</v>
      </c>
      <c r="AR87" s="6"/>
      <c r="AS87" s="8">
        <v>0.06</v>
      </c>
      <c r="AT87" s="8">
        <v>0.5</v>
      </c>
      <c r="AU87" s="6"/>
      <c r="AV87" s="8">
        <v>1</v>
      </c>
      <c r="AW87" s="6"/>
      <c r="AX87" s="6"/>
      <c r="AY87" s="6"/>
      <c r="AZ87" s="6"/>
      <c r="BA87" s="6"/>
      <c r="BB87" s="6"/>
      <c r="BC87" s="6"/>
      <c r="BD87" s="6"/>
      <c r="BE87" s="6"/>
      <c r="BF87" s="6"/>
      <c r="BG87" s="6"/>
      <c r="BH87" s="6"/>
      <c r="BI87" s="6"/>
      <c r="BJ87" s="6"/>
      <c r="BK87" s="6"/>
      <c r="BL87" s="8">
        <v>20.74</v>
      </c>
      <c r="BM87" s="6"/>
      <c r="BN87" s="6"/>
      <c r="BO87" s="6"/>
      <c r="BP87" s="6"/>
      <c r="BQ87" s="6"/>
      <c r="BR87" s="6"/>
      <c r="BS87" s="6"/>
      <c r="BT87" s="6"/>
      <c r="BU87" s="6"/>
      <c r="BV87" s="6"/>
      <c r="BW87" s="6"/>
      <c r="BX87" s="6"/>
      <c r="BY87" s="6"/>
      <c r="BZ87" s="6"/>
      <c r="CA87" s="6"/>
      <c r="CB87" s="6"/>
      <c r="CC87" s="6"/>
      <c r="CD87" s="6"/>
      <c r="CE87" s="6"/>
      <c r="CF87" s="6"/>
      <c r="CG87" s="9">
        <v>20.74</v>
      </c>
    </row>
    <row r="88" spans="1:85" x14ac:dyDescent="0.3">
      <c r="A88" s="3" t="str">
        <f t="shared" si="3"/>
        <v>ADDLearningResearch Investment Communications (RIC)Total</v>
      </c>
      <c r="B88" s="6" t="s">
        <v>81</v>
      </c>
      <c r="C88" s="6" t="s">
        <v>133</v>
      </c>
      <c r="D88" s="6" t="s">
        <v>160</v>
      </c>
      <c r="E88" s="6" t="s">
        <v>24</v>
      </c>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8">
        <v>5.5</v>
      </c>
      <c r="BG88" s="8">
        <v>5.5</v>
      </c>
      <c r="BH88" s="6"/>
      <c r="BI88" s="6"/>
      <c r="BJ88" s="6"/>
      <c r="BK88" s="6"/>
      <c r="BL88" s="8">
        <v>5.5</v>
      </c>
      <c r="BM88" s="6"/>
      <c r="BN88" s="6"/>
      <c r="BO88" s="6"/>
      <c r="BP88" s="6"/>
      <c r="BQ88" s="6"/>
      <c r="BR88" s="6"/>
      <c r="BS88" s="6"/>
      <c r="BT88" s="6"/>
      <c r="BU88" s="6"/>
      <c r="BV88" s="6"/>
      <c r="BW88" s="6"/>
      <c r="BX88" s="6"/>
      <c r="BY88" s="6"/>
      <c r="BZ88" s="6"/>
      <c r="CA88" s="6"/>
      <c r="CB88" s="6"/>
      <c r="CC88" s="6"/>
      <c r="CD88" s="6"/>
      <c r="CE88" s="6"/>
      <c r="CF88" s="6"/>
      <c r="CG88" s="9">
        <v>5.5</v>
      </c>
    </row>
    <row r="89" spans="1:85" x14ac:dyDescent="0.3">
      <c r="A89" s="3" t="str">
        <f t="shared" si="3"/>
        <v>ADDLearningRobert Noyce Teacher Scholarship Program (NOYCE)Total</v>
      </c>
      <c r="B89" s="6" t="s">
        <v>81</v>
      </c>
      <c r="C89" s="6" t="s">
        <v>133</v>
      </c>
      <c r="D89" s="6" t="s">
        <v>161</v>
      </c>
      <c r="E89" s="6" t="s">
        <v>24</v>
      </c>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8">
        <v>67</v>
      </c>
      <c r="BP89" s="6"/>
      <c r="BQ89" s="6"/>
      <c r="BR89" s="8">
        <v>67</v>
      </c>
      <c r="BS89" s="8">
        <v>67</v>
      </c>
      <c r="BT89" s="6"/>
      <c r="BU89" s="6"/>
      <c r="BV89" s="6"/>
      <c r="BW89" s="6"/>
      <c r="BX89" s="6"/>
      <c r="BY89" s="6"/>
      <c r="BZ89" s="6"/>
      <c r="CA89" s="6"/>
      <c r="CB89" s="6"/>
      <c r="CC89" s="6"/>
      <c r="CD89" s="6"/>
      <c r="CE89" s="6"/>
      <c r="CF89" s="6"/>
      <c r="CG89" s="9">
        <v>67</v>
      </c>
    </row>
    <row r="90" spans="1:85" x14ac:dyDescent="0.3">
      <c r="A90" s="3" t="str">
        <f t="shared" si="3"/>
        <v>ADDLearningRobert Noyce Teacher Scholarship Program (NOYCE)Noyce Scholarships</v>
      </c>
      <c r="B90" s="6" t="s">
        <v>81</v>
      </c>
      <c r="C90" s="6" t="s">
        <v>133</v>
      </c>
      <c r="D90" s="6" t="s">
        <v>161</v>
      </c>
      <c r="E90" s="6" t="s">
        <v>162</v>
      </c>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8">
        <v>47</v>
      </c>
      <c r="BP90" s="6"/>
      <c r="BQ90" s="6"/>
      <c r="BR90" s="8">
        <v>47</v>
      </c>
      <c r="BS90" s="8">
        <v>47</v>
      </c>
      <c r="BT90" s="6"/>
      <c r="BU90" s="6"/>
      <c r="BV90" s="6"/>
      <c r="BW90" s="6"/>
      <c r="BX90" s="6"/>
      <c r="BY90" s="6"/>
      <c r="BZ90" s="6"/>
      <c r="CA90" s="6"/>
      <c r="CB90" s="6"/>
      <c r="CC90" s="6"/>
      <c r="CD90" s="6"/>
      <c r="CE90" s="6"/>
      <c r="CF90" s="6"/>
      <c r="CG90" s="9">
        <v>47</v>
      </c>
    </row>
    <row r="91" spans="1:85" x14ac:dyDescent="0.3">
      <c r="A91" s="3" t="str">
        <f t="shared" si="3"/>
        <v>ADDLearningRobert Noyce Teacher Scholarship Program (NOYCE)Noyce Teaching &amp; Master Teaching Fellows (10A)</v>
      </c>
      <c r="B91" s="6" t="s">
        <v>81</v>
      </c>
      <c r="C91" s="6" t="s">
        <v>133</v>
      </c>
      <c r="D91" s="6" t="s">
        <v>161</v>
      </c>
      <c r="E91" s="6" t="s">
        <v>163</v>
      </c>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8">
        <v>20</v>
      </c>
      <c r="BP91" s="6"/>
      <c r="BQ91" s="6"/>
      <c r="BR91" s="8">
        <v>20</v>
      </c>
      <c r="BS91" s="8">
        <v>20</v>
      </c>
      <c r="BT91" s="6"/>
      <c r="BU91" s="6"/>
      <c r="BV91" s="6"/>
      <c r="BW91" s="6"/>
      <c r="BX91" s="6"/>
      <c r="BY91" s="6"/>
      <c r="BZ91" s="6"/>
      <c r="CA91" s="6"/>
      <c r="CB91" s="6"/>
      <c r="CC91" s="6"/>
      <c r="CD91" s="6"/>
      <c r="CE91" s="6"/>
      <c r="CF91" s="6"/>
      <c r="CG91" s="9">
        <v>20</v>
      </c>
    </row>
    <row r="92" spans="1:85" x14ac:dyDescent="0.3">
      <c r="A92" s="3" t="str">
        <f t="shared" si="3"/>
        <v>ADDLearningSPRF - Fundamental Research (SPRF-FR)Total</v>
      </c>
      <c r="B92" s="6" t="s">
        <v>81</v>
      </c>
      <c r="C92" s="6" t="s">
        <v>133</v>
      </c>
      <c r="D92" s="6" t="s">
        <v>164</v>
      </c>
      <c r="E92" s="6" t="s">
        <v>24</v>
      </c>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8">
        <v>1.5</v>
      </c>
      <c r="AT92" s="6"/>
      <c r="AU92" s="6"/>
      <c r="AV92" s="8">
        <v>1.5</v>
      </c>
      <c r="AW92" s="6"/>
      <c r="AX92" s="6"/>
      <c r="AY92" s="6"/>
      <c r="AZ92" s="6"/>
      <c r="BA92" s="6"/>
      <c r="BB92" s="6"/>
      <c r="BC92" s="6"/>
      <c r="BD92" s="6"/>
      <c r="BE92" s="6"/>
      <c r="BF92" s="6"/>
      <c r="BG92" s="6"/>
      <c r="BH92" s="6"/>
      <c r="BI92" s="6"/>
      <c r="BJ92" s="6"/>
      <c r="BK92" s="6"/>
      <c r="BL92" s="8">
        <v>1.5</v>
      </c>
      <c r="BM92" s="6"/>
      <c r="BN92" s="6"/>
      <c r="BO92" s="6"/>
      <c r="BP92" s="6"/>
      <c r="BQ92" s="6"/>
      <c r="BR92" s="6"/>
      <c r="BS92" s="6"/>
      <c r="BT92" s="6"/>
      <c r="BU92" s="6"/>
      <c r="BV92" s="6"/>
      <c r="BW92" s="6"/>
      <c r="BX92" s="6"/>
      <c r="BY92" s="6"/>
      <c r="BZ92" s="6"/>
      <c r="CA92" s="6"/>
      <c r="CB92" s="6"/>
      <c r="CC92" s="6"/>
      <c r="CD92" s="6"/>
      <c r="CE92" s="6"/>
      <c r="CF92" s="6"/>
      <c r="CG92" s="9">
        <v>1.5</v>
      </c>
    </row>
    <row r="93" spans="1:85" x14ac:dyDescent="0.3">
      <c r="A93" s="3" t="str">
        <f t="shared" si="3"/>
        <v>ADDLearningSPRF-Broadening ParticipationTotal</v>
      </c>
      <c r="B93" s="6" t="s">
        <v>81</v>
      </c>
      <c r="C93" s="6" t="s">
        <v>133</v>
      </c>
      <c r="D93" s="6" t="s">
        <v>165</v>
      </c>
      <c r="E93" s="6" t="s">
        <v>24</v>
      </c>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8">
        <v>1.5</v>
      </c>
      <c r="AT93" s="6"/>
      <c r="AU93" s="6"/>
      <c r="AV93" s="8">
        <v>1.5</v>
      </c>
      <c r="AW93" s="6"/>
      <c r="AX93" s="6"/>
      <c r="AY93" s="6"/>
      <c r="AZ93" s="6"/>
      <c r="BA93" s="6"/>
      <c r="BB93" s="6"/>
      <c r="BC93" s="6"/>
      <c r="BD93" s="6"/>
      <c r="BE93" s="6"/>
      <c r="BF93" s="6"/>
      <c r="BG93" s="6"/>
      <c r="BH93" s="6"/>
      <c r="BI93" s="6"/>
      <c r="BJ93" s="6"/>
      <c r="BK93" s="6"/>
      <c r="BL93" s="8">
        <v>1.5</v>
      </c>
      <c r="BM93" s="6"/>
      <c r="BN93" s="6"/>
      <c r="BO93" s="6"/>
      <c r="BP93" s="6"/>
      <c r="BQ93" s="6"/>
      <c r="BR93" s="6"/>
      <c r="BS93" s="6"/>
      <c r="BT93" s="6"/>
      <c r="BU93" s="6"/>
      <c r="BV93" s="6"/>
      <c r="BW93" s="6"/>
      <c r="BX93" s="6"/>
      <c r="BY93" s="6"/>
      <c r="BZ93" s="6"/>
      <c r="CA93" s="6"/>
      <c r="CB93" s="6"/>
      <c r="CC93" s="6"/>
      <c r="CD93" s="6"/>
      <c r="CE93" s="6"/>
      <c r="CF93" s="6"/>
      <c r="CG93" s="9">
        <v>1.5</v>
      </c>
    </row>
    <row r="94" spans="1:85" x14ac:dyDescent="0.3">
      <c r="A94" s="3" t="str">
        <f t="shared" si="3"/>
        <v>ADDOrganizational Excellence - Program SupportTotalTotal</v>
      </c>
      <c r="B94" s="6" t="s">
        <v>81</v>
      </c>
      <c r="C94" s="6" t="s">
        <v>166</v>
      </c>
      <c r="D94" s="6" t="s">
        <v>24</v>
      </c>
      <c r="E94" s="6" t="s">
        <v>24</v>
      </c>
      <c r="F94" s="8">
        <v>4.54</v>
      </c>
      <c r="G94" s="8">
        <v>4.0599999999999996</v>
      </c>
      <c r="H94" s="8">
        <v>1.3</v>
      </c>
      <c r="I94" s="8">
        <v>4.72</v>
      </c>
      <c r="J94" s="8">
        <v>3.01</v>
      </c>
      <c r="K94" s="6"/>
      <c r="L94" s="8">
        <v>17.63</v>
      </c>
      <c r="M94" s="8">
        <v>5.61</v>
      </c>
      <c r="N94" s="8">
        <v>8.0299999999999994</v>
      </c>
      <c r="O94" s="8">
        <v>5.95</v>
      </c>
      <c r="P94" s="8">
        <v>2.4500000000000002</v>
      </c>
      <c r="Q94" s="8">
        <v>8.51</v>
      </c>
      <c r="R94" s="6"/>
      <c r="S94" s="8">
        <v>30.55</v>
      </c>
      <c r="T94" s="8">
        <v>4.71</v>
      </c>
      <c r="U94" s="8">
        <v>6.93</v>
      </c>
      <c r="V94" s="8">
        <v>4.3600000000000003</v>
      </c>
      <c r="W94" s="8">
        <v>3.63</v>
      </c>
      <c r="X94" s="8">
        <v>1.29</v>
      </c>
      <c r="Y94" s="8">
        <v>0</v>
      </c>
      <c r="Z94" s="6"/>
      <c r="AA94" s="8">
        <v>20.92</v>
      </c>
      <c r="AB94" s="8">
        <v>5.49</v>
      </c>
      <c r="AC94" s="8">
        <v>4.8</v>
      </c>
      <c r="AD94" s="8">
        <v>9.11</v>
      </c>
      <c r="AE94" s="8">
        <v>9.14</v>
      </c>
      <c r="AF94" s="8">
        <v>2.2200000000000002</v>
      </c>
      <c r="AG94" s="6"/>
      <c r="AH94" s="8">
        <v>30.76</v>
      </c>
      <c r="AI94" s="8">
        <v>6.51</v>
      </c>
      <c r="AJ94" s="8">
        <v>6.2</v>
      </c>
      <c r="AK94" s="8">
        <v>7.07</v>
      </c>
      <c r="AL94" s="8">
        <v>5.33</v>
      </c>
      <c r="AM94" s="8">
        <v>2.79</v>
      </c>
      <c r="AN94" s="8">
        <v>6.13</v>
      </c>
      <c r="AO94" s="6"/>
      <c r="AP94" s="8">
        <v>34.03</v>
      </c>
      <c r="AQ94" s="8">
        <v>2.66</v>
      </c>
      <c r="AR94" s="8">
        <v>0.83</v>
      </c>
      <c r="AS94" s="8">
        <v>0.82</v>
      </c>
      <c r="AT94" s="8">
        <v>3.01</v>
      </c>
      <c r="AU94" s="6"/>
      <c r="AV94" s="8">
        <v>7.32</v>
      </c>
      <c r="AW94" s="8">
        <v>3.28</v>
      </c>
      <c r="AX94" s="6"/>
      <c r="AY94" s="6"/>
      <c r="AZ94" s="8">
        <v>2.5</v>
      </c>
      <c r="BA94" s="6"/>
      <c r="BB94" s="8">
        <v>5.78</v>
      </c>
      <c r="BC94" s="8">
        <v>1.83</v>
      </c>
      <c r="BD94" s="8">
        <v>1.83</v>
      </c>
      <c r="BE94" s="8">
        <v>4.2</v>
      </c>
      <c r="BF94" s="8">
        <v>18.02</v>
      </c>
      <c r="BG94" s="8">
        <v>22.22</v>
      </c>
      <c r="BH94" s="6"/>
      <c r="BI94" s="6"/>
      <c r="BJ94" s="6"/>
      <c r="BK94" s="6"/>
      <c r="BL94" s="8">
        <v>171.04</v>
      </c>
      <c r="BM94" s="6"/>
      <c r="BN94" s="6"/>
      <c r="BO94" s="6"/>
      <c r="BP94" s="6"/>
      <c r="BQ94" s="8">
        <v>25.38</v>
      </c>
      <c r="BR94" s="8">
        <v>25.38</v>
      </c>
      <c r="BS94" s="8">
        <v>25.38</v>
      </c>
      <c r="BT94" s="8">
        <v>1</v>
      </c>
      <c r="BU94" s="8">
        <v>1</v>
      </c>
      <c r="BV94" s="8">
        <v>1</v>
      </c>
      <c r="BW94" s="8">
        <v>424.9</v>
      </c>
      <c r="BX94" s="6"/>
      <c r="BY94" s="8">
        <v>424.9</v>
      </c>
      <c r="BZ94" s="8">
        <v>424.9</v>
      </c>
      <c r="CA94" s="8">
        <v>19</v>
      </c>
      <c r="CB94" s="8">
        <v>19</v>
      </c>
      <c r="CC94" s="8">
        <v>19</v>
      </c>
      <c r="CD94" s="8">
        <v>4.5999999999999996</v>
      </c>
      <c r="CE94" s="8">
        <v>4.5999999999999996</v>
      </c>
      <c r="CF94" s="8">
        <v>4.5999999999999996</v>
      </c>
      <c r="CG94" s="9">
        <v>645.91999999999996</v>
      </c>
    </row>
    <row r="95" spans="1:85" x14ac:dyDescent="0.3">
      <c r="A95" s="3" t="str">
        <f t="shared" si="3"/>
        <v>ADDOrganizational Excellence - Program SupportEvaluation and Assessment CapabilityTotal</v>
      </c>
      <c r="B95" s="6" t="s">
        <v>81</v>
      </c>
      <c r="C95" s="6" t="s">
        <v>166</v>
      </c>
      <c r="D95" s="6" t="s">
        <v>167</v>
      </c>
      <c r="E95" s="6" t="s">
        <v>24</v>
      </c>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8">
        <v>7</v>
      </c>
      <c r="BG95" s="8">
        <v>7</v>
      </c>
      <c r="BH95" s="6"/>
      <c r="BI95" s="6"/>
      <c r="BJ95" s="6"/>
      <c r="BK95" s="6"/>
      <c r="BL95" s="8">
        <v>7</v>
      </c>
      <c r="BM95" s="6"/>
      <c r="BN95" s="6"/>
      <c r="BO95" s="6"/>
      <c r="BP95" s="6"/>
      <c r="BQ95" s="6"/>
      <c r="BR95" s="6"/>
      <c r="BS95" s="6"/>
      <c r="BT95" s="6"/>
      <c r="BU95" s="6"/>
      <c r="BV95" s="6"/>
      <c r="BW95" s="6"/>
      <c r="BX95" s="6"/>
      <c r="BY95" s="6"/>
      <c r="BZ95" s="6"/>
      <c r="CA95" s="6"/>
      <c r="CB95" s="6"/>
      <c r="CC95" s="6"/>
      <c r="CD95" s="6"/>
      <c r="CE95" s="6"/>
      <c r="CF95" s="6"/>
      <c r="CG95" s="9">
        <v>7</v>
      </c>
    </row>
    <row r="96" spans="1:85" x14ac:dyDescent="0.3">
      <c r="A96" s="3" t="str">
        <f t="shared" si="3"/>
        <v>ADDOrganizational Excellence - Program SupportIntergovernmental Personnel Assignments (IPAs)Total</v>
      </c>
      <c r="B96" s="6" t="s">
        <v>81</v>
      </c>
      <c r="C96" s="6" t="s">
        <v>166</v>
      </c>
      <c r="D96" s="6" t="s">
        <v>168</v>
      </c>
      <c r="E96" s="6" t="s">
        <v>24</v>
      </c>
      <c r="F96" s="8">
        <v>1.42</v>
      </c>
      <c r="G96" s="8">
        <v>1.42</v>
      </c>
      <c r="H96" s="6"/>
      <c r="I96" s="8">
        <v>1.66</v>
      </c>
      <c r="J96" s="8">
        <v>0.71</v>
      </c>
      <c r="K96" s="6"/>
      <c r="L96" s="8">
        <v>5.21</v>
      </c>
      <c r="M96" s="8">
        <v>2.66</v>
      </c>
      <c r="N96" s="8">
        <v>4.47</v>
      </c>
      <c r="O96" s="8">
        <v>2.75</v>
      </c>
      <c r="P96" s="8">
        <v>0.64</v>
      </c>
      <c r="Q96" s="8">
        <v>2.88</v>
      </c>
      <c r="R96" s="6"/>
      <c r="S96" s="8">
        <v>13.4</v>
      </c>
      <c r="T96" s="8">
        <v>1.69</v>
      </c>
      <c r="U96" s="8">
        <v>3.37</v>
      </c>
      <c r="V96" s="8">
        <v>2.5299999999999998</v>
      </c>
      <c r="W96" s="8">
        <v>1.68</v>
      </c>
      <c r="X96" s="8">
        <v>0.28000000000000003</v>
      </c>
      <c r="Y96" s="8">
        <v>0</v>
      </c>
      <c r="Z96" s="6"/>
      <c r="AA96" s="8">
        <v>9.5500000000000007</v>
      </c>
      <c r="AB96" s="8">
        <v>1.27</v>
      </c>
      <c r="AC96" s="8">
        <v>1.72</v>
      </c>
      <c r="AD96" s="8">
        <v>2.98</v>
      </c>
      <c r="AE96" s="8">
        <v>2.5</v>
      </c>
      <c r="AF96" s="8">
        <v>0.37</v>
      </c>
      <c r="AG96" s="6"/>
      <c r="AH96" s="8">
        <v>8.84</v>
      </c>
      <c r="AI96" s="8">
        <v>1.6</v>
      </c>
      <c r="AJ96" s="8">
        <v>2.2999999999999998</v>
      </c>
      <c r="AK96" s="8">
        <v>2.1</v>
      </c>
      <c r="AL96" s="8">
        <v>1.75</v>
      </c>
      <c r="AM96" s="8">
        <v>0.23</v>
      </c>
      <c r="AN96" s="8">
        <v>1.65</v>
      </c>
      <c r="AO96" s="6"/>
      <c r="AP96" s="8">
        <v>9.6300000000000008</v>
      </c>
      <c r="AQ96" s="8">
        <v>1.1499999999999999</v>
      </c>
      <c r="AR96" s="8">
        <v>0</v>
      </c>
      <c r="AS96" s="8">
        <v>0.5</v>
      </c>
      <c r="AT96" s="8">
        <v>1.48</v>
      </c>
      <c r="AU96" s="6"/>
      <c r="AV96" s="8">
        <v>3.13</v>
      </c>
      <c r="AW96" s="8">
        <v>1.65</v>
      </c>
      <c r="AX96" s="6"/>
      <c r="AY96" s="6"/>
      <c r="AZ96" s="8">
        <v>1</v>
      </c>
      <c r="BA96" s="6"/>
      <c r="BB96" s="8">
        <v>2.65</v>
      </c>
      <c r="BC96" s="8">
        <v>0.93</v>
      </c>
      <c r="BD96" s="8">
        <v>0.93</v>
      </c>
      <c r="BE96" s="8">
        <v>0.84</v>
      </c>
      <c r="BF96" s="8">
        <v>1.25</v>
      </c>
      <c r="BG96" s="8">
        <v>2.09</v>
      </c>
      <c r="BH96" s="6"/>
      <c r="BI96" s="6"/>
      <c r="BJ96" s="6"/>
      <c r="BK96" s="6"/>
      <c r="BL96" s="8">
        <v>55.43</v>
      </c>
      <c r="BM96" s="6"/>
      <c r="BN96" s="6"/>
      <c r="BO96" s="6"/>
      <c r="BP96" s="6"/>
      <c r="BQ96" s="8">
        <v>8.52</v>
      </c>
      <c r="BR96" s="8">
        <v>8.52</v>
      </c>
      <c r="BS96" s="8">
        <v>8.52</v>
      </c>
      <c r="BT96" s="6"/>
      <c r="BU96" s="6"/>
      <c r="BV96" s="6"/>
      <c r="BW96" s="6"/>
      <c r="BX96" s="6"/>
      <c r="BY96" s="6"/>
      <c r="BZ96" s="6"/>
      <c r="CA96" s="6"/>
      <c r="CB96" s="6"/>
      <c r="CC96" s="6"/>
      <c r="CD96" s="6"/>
      <c r="CE96" s="6"/>
      <c r="CF96" s="6"/>
      <c r="CG96" s="9">
        <v>63.95</v>
      </c>
    </row>
    <row r="97" spans="1:85" x14ac:dyDescent="0.3">
      <c r="A97" s="3" t="str">
        <f t="shared" si="3"/>
        <v>ADDOrganizational Excellence - Program SupportMajor Facilities Administrative Reviews and AuditsTotal</v>
      </c>
      <c r="B97" s="6" t="s">
        <v>81</v>
      </c>
      <c r="C97" s="6" t="s">
        <v>166</v>
      </c>
      <c r="D97" s="6" t="s">
        <v>169</v>
      </c>
      <c r="E97" s="6" t="s">
        <v>24</v>
      </c>
      <c r="F97" s="8">
        <v>0.22</v>
      </c>
      <c r="G97" s="6"/>
      <c r="H97" s="6"/>
      <c r="I97" s="6"/>
      <c r="J97" s="6"/>
      <c r="K97" s="6"/>
      <c r="L97" s="8">
        <v>0.22</v>
      </c>
      <c r="M97" s="6"/>
      <c r="N97" s="6"/>
      <c r="O97" s="6"/>
      <c r="P97" s="6"/>
      <c r="Q97" s="8">
        <v>0.5</v>
      </c>
      <c r="R97" s="6"/>
      <c r="S97" s="8">
        <v>0.5</v>
      </c>
      <c r="T97" s="6"/>
      <c r="U97" s="6"/>
      <c r="V97" s="6"/>
      <c r="W97" s="6"/>
      <c r="X97" s="6"/>
      <c r="Y97" s="6"/>
      <c r="Z97" s="6"/>
      <c r="AA97" s="6"/>
      <c r="AB97" s="6"/>
      <c r="AC97" s="8">
        <v>0.12</v>
      </c>
      <c r="AD97" s="8">
        <v>0</v>
      </c>
      <c r="AE97" s="8">
        <v>0</v>
      </c>
      <c r="AF97" s="6"/>
      <c r="AG97" s="6"/>
      <c r="AH97" s="8">
        <v>0.12</v>
      </c>
      <c r="AI97" s="8">
        <v>0.75</v>
      </c>
      <c r="AJ97" s="6"/>
      <c r="AK97" s="8">
        <v>0</v>
      </c>
      <c r="AL97" s="6"/>
      <c r="AM97" s="6"/>
      <c r="AN97" s="6"/>
      <c r="AO97" s="6"/>
      <c r="AP97" s="8">
        <v>0.75</v>
      </c>
      <c r="AQ97" s="6"/>
      <c r="AR97" s="6"/>
      <c r="AS97" s="6"/>
      <c r="AT97" s="6"/>
      <c r="AU97" s="6"/>
      <c r="AV97" s="6"/>
      <c r="AW97" s="6"/>
      <c r="AX97" s="6"/>
      <c r="AY97" s="6"/>
      <c r="AZ97" s="6"/>
      <c r="BA97" s="6"/>
      <c r="BB97" s="6"/>
      <c r="BC97" s="6"/>
      <c r="BD97" s="6"/>
      <c r="BE97" s="6"/>
      <c r="BF97" s="6"/>
      <c r="BG97" s="6"/>
      <c r="BH97" s="6"/>
      <c r="BI97" s="6"/>
      <c r="BJ97" s="6"/>
      <c r="BK97" s="6"/>
      <c r="BL97" s="8">
        <v>1.59</v>
      </c>
      <c r="BM97" s="6"/>
      <c r="BN97" s="6"/>
      <c r="BO97" s="6"/>
      <c r="BP97" s="6"/>
      <c r="BQ97" s="6"/>
      <c r="BR97" s="6"/>
      <c r="BS97" s="6"/>
      <c r="BT97" s="8">
        <v>1</v>
      </c>
      <c r="BU97" s="8">
        <v>1</v>
      </c>
      <c r="BV97" s="8">
        <v>1</v>
      </c>
      <c r="BW97" s="8">
        <v>1.25</v>
      </c>
      <c r="BX97" s="6"/>
      <c r="BY97" s="8">
        <v>1.25</v>
      </c>
      <c r="BZ97" s="8">
        <v>1.25</v>
      </c>
      <c r="CA97" s="6"/>
      <c r="CB97" s="6"/>
      <c r="CC97" s="6"/>
      <c r="CD97" s="6"/>
      <c r="CE97" s="6"/>
      <c r="CF97" s="6"/>
      <c r="CG97" s="9">
        <v>3.84</v>
      </c>
    </row>
    <row r="98" spans="1:85" x14ac:dyDescent="0.3">
      <c r="A98" s="3" t="str">
        <f t="shared" si="3"/>
        <v>ADDOrganizational Excellence - Program SupportModeling and ForecastingTotal</v>
      </c>
      <c r="B98" s="6" t="s">
        <v>81</v>
      </c>
      <c r="C98" s="6" t="s">
        <v>166</v>
      </c>
      <c r="D98" s="6" t="s">
        <v>170</v>
      </c>
      <c r="E98" s="6" t="s">
        <v>24</v>
      </c>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8">
        <v>3</v>
      </c>
      <c r="BG98" s="8">
        <v>3</v>
      </c>
      <c r="BH98" s="6"/>
      <c r="BI98" s="6"/>
      <c r="BJ98" s="6"/>
      <c r="BK98" s="6"/>
      <c r="BL98" s="8">
        <v>3</v>
      </c>
      <c r="BM98" s="6"/>
      <c r="BN98" s="6"/>
      <c r="BO98" s="6"/>
      <c r="BP98" s="6"/>
      <c r="BQ98" s="6"/>
      <c r="BR98" s="6"/>
      <c r="BS98" s="6"/>
      <c r="BT98" s="6"/>
      <c r="BU98" s="6"/>
      <c r="BV98" s="6"/>
      <c r="BW98" s="6"/>
      <c r="BX98" s="6"/>
      <c r="BY98" s="6"/>
      <c r="BZ98" s="6"/>
      <c r="CA98" s="6"/>
      <c r="CB98" s="6"/>
      <c r="CC98" s="6"/>
      <c r="CD98" s="6"/>
      <c r="CE98" s="6"/>
      <c r="CF98" s="6"/>
      <c r="CG98" s="9">
        <v>3</v>
      </c>
    </row>
    <row r="99" spans="1:85" x14ac:dyDescent="0.3">
      <c r="A99" s="3" t="str">
        <f t="shared" si="3"/>
        <v>ADDOrganizational Excellence - Program SupportOrganizational ExcellenceTotal</v>
      </c>
      <c r="B99" s="6" t="s">
        <v>81</v>
      </c>
      <c r="C99" s="6" t="s">
        <v>166</v>
      </c>
      <c r="D99" s="6" t="s">
        <v>171</v>
      </c>
      <c r="E99" s="6" t="s">
        <v>24</v>
      </c>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8">
        <v>423.65</v>
      </c>
      <c r="BX99" s="6"/>
      <c r="BY99" s="8">
        <v>423.65</v>
      </c>
      <c r="BZ99" s="8">
        <v>423.65</v>
      </c>
      <c r="CA99" s="8">
        <v>19</v>
      </c>
      <c r="CB99" s="8">
        <v>19</v>
      </c>
      <c r="CC99" s="8">
        <v>19</v>
      </c>
      <c r="CD99" s="8">
        <v>4.5999999999999996</v>
      </c>
      <c r="CE99" s="8">
        <v>4.5999999999999996</v>
      </c>
      <c r="CF99" s="8">
        <v>4.5999999999999996</v>
      </c>
      <c r="CG99" s="9">
        <v>447.25</v>
      </c>
    </row>
    <row r="100" spans="1:85" x14ac:dyDescent="0.3">
      <c r="A100" s="3" t="str">
        <f t="shared" si="3"/>
        <v>ADDOrganizational Excellence - Program SupportOrganizational Excellence Stewardship OffsetTotal</v>
      </c>
      <c r="B100" s="6" t="s">
        <v>81</v>
      </c>
      <c r="C100" s="6" t="s">
        <v>166</v>
      </c>
      <c r="D100" s="6" t="s">
        <v>172</v>
      </c>
      <c r="E100" s="6" t="s">
        <v>24</v>
      </c>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8">
        <v>-0.23</v>
      </c>
      <c r="BG100" s="8">
        <v>-0.23</v>
      </c>
      <c r="BH100" s="6"/>
      <c r="BI100" s="6"/>
      <c r="BJ100" s="6"/>
      <c r="BK100" s="6"/>
      <c r="BL100" s="8">
        <v>-0.23</v>
      </c>
      <c r="BM100" s="6"/>
      <c r="BN100" s="6"/>
      <c r="BO100" s="6"/>
      <c r="BP100" s="6"/>
      <c r="BQ100" s="6"/>
      <c r="BR100" s="6"/>
      <c r="BS100" s="6"/>
      <c r="BT100" s="6"/>
      <c r="BU100" s="6"/>
      <c r="BV100" s="6"/>
      <c r="BW100" s="6"/>
      <c r="BX100" s="6"/>
      <c r="BY100" s="6"/>
      <c r="BZ100" s="6"/>
      <c r="CA100" s="6"/>
      <c r="CB100" s="6"/>
      <c r="CC100" s="6"/>
      <c r="CD100" s="6"/>
      <c r="CE100" s="6"/>
      <c r="CF100" s="6"/>
      <c r="CG100" s="9">
        <v>-0.23</v>
      </c>
    </row>
    <row r="101" spans="1:85" x14ac:dyDescent="0.3">
      <c r="A101" s="3" t="str">
        <f t="shared" si="3"/>
        <v>ADDOrganizational Excellence - Program SupportPlanning and Policy SupportTotal</v>
      </c>
      <c r="B101" s="6" t="s">
        <v>81</v>
      </c>
      <c r="C101" s="6" t="s">
        <v>166</v>
      </c>
      <c r="D101" s="6" t="s">
        <v>173</v>
      </c>
      <c r="E101" s="6" t="s">
        <v>24</v>
      </c>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8">
        <v>0</v>
      </c>
      <c r="AX101" s="6"/>
      <c r="AY101" s="6"/>
      <c r="AZ101" s="6"/>
      <c r="BA101" s="6"/>
      <c r="BB101" s="8">
        <v>0</v>
      </c>
      <c r="BC101" s="6"/>
      <c r="BD101" s="6"/>
      <c r="BE101" s="6"/>
      <c r="BF101" s="8">
        <v>3</v>
      </c>
      <c r="BG101" s="8">
        <v>3</v>
      </c>
      <c r="BH101" s="6"/>
      <c r="BI101" s="6"/>
      <c r="BJ101" s="6"/>
      <c r="BK101" s="6"/>
      <c r="BL101" s="8">
        <v>3</v>
      </c>
      <c r="BM101" s="6"/>
      <c r="BN101" s="6"/>
      <c r="BO101" s="6"/>
      <c r="BP101" s="6"/>
      <c r="BQ101" s="6"/>
      <c r="BR101" s="6"/>
      <c r="BS101" s="6"/>
      <c r="BT101" s="6"/>
      <c r="BU101" s="6"/>
      <c r="BV101" s="6"/>
      <c r="BW101" s="6"/>
      <c r="BX101" s="6"/>
      <c r="BY101" s="6"/>
      <c r="BZ101" s="6"/>
      <c r="CA101" s="6"/>
      <c r="CB101" s="6"/>
      <c r="CC101" s="6"/>
      <c r="CD101" s="6"/>
      <c r="CE101" s="6"/>
      <c r="CF101" s="6"/>
      <c r="CG101" s="9">
        <v>3</v>
      </c>
    </row>
    <row r="102" spans="1:85" x14ac:dyDescent="0.3">
      <c r="A102" s="3" t="str">
        <f t="shared" si="3"/>
        <v>ADDOrganizational Excellence - Program SupportProgram Related Administration (PRA)Total</v>
      </c>
      <c r="B102" s="6" t="s">
        <v>81</v>
      </c>
      <c r="C102" s="6" t="s">
        <v>166</v>
      </c>
      <c r="D102" s="6" t="s">
        <v>174</v>
      </c>
      <c r="E102" s="6" t="s">
        <v>24</v>
      </c>
      <c r="F102" s="8">
        <v>2.9</v>
      </c>
      <c r="G102" s="8">
        <v>2.64</v>
      </c>
      <c r="H102" s="8">
        <v>1.3</v>
      </c>
      <c r="I102" s="8">
        <v>3.06</v>
      </c>
      <c r="J102" s="8">
        <v>2.2999999999999998</v>
      </c>
      <c r="K102" s="6"/>
      <c r="L102" s="8">
        <v>12.2</v>
      </c>
      <c r="M102" s="8">
        <v>2.95</v>
      </c>
      <c r="N102" s="8">
        <v>3.56</v>
      </c>
      <c r="O102" s="8">
        <v>3.2</v>
      </c>
      <c r="P102" s="8">
        <v>1.81</v>
      </c>
      <c r="Q102" s="8">
        <v>3.38</v>
      </c>
      <c r="R102" s="6"/>
      <c r="S102" s="8">
        <v>14.9</v>
      </c>
      <c r="T102" s="8">
        <v>3.02</v>
      </c>
      <c r="U102" s="8">
        <v>3.56</v>
      </c>
      <c r="V102" s="8">
        <v>1.83</v>
      </c>
      <c r="W102" s="8">
        <v>1.95</v>
      </c>
      <c r="X102" s="8">
        <v>1.01</v>
      </c>
      <c r="Y102" s="8">
        <v>0</v>
      </c>
      <c r="Z102" s="6"/>
      <c r="AA102" s="8">
        <v>11.37</v>
      </c>
      <c r="AB102" s="8">
        <v>4.22</v>
      </c>
      <c r="AC102" s="8">
        <v>2.96</v>
      </c>
      <c r="AD102" s="8">
        <v>6.13</v>
      </c>
      <c r="AE102" s="8">
        <v>6.64</v>
      </c>
      <c r="AF102" s="8">
        <v>1.85</v>
      </c>
      <c r="AG102" s="6"/>
      <c r="AH102" s="8">
        <v>21.8</v>
      </c>
      <c r="AI102" s="8">
        <v>4.16</v>
      </c>
      <c r="AJ102" s="8">
        <v>3.9</v>
      </c>
      <c r="AK102" s="8">
        <v>4.97</v>
      </c>
      <c r="AL102" s="8">
        <v>3.58</v>
      </c>
      <c r="AM102" s="8">
        <v>2.56</v>
      </c>
      <c r="AN102" s="8">
        <v>4.4800000000000004</v>
      </c>
      <c r="AO102" s="6"/>
      <c r="AP102" s="8">
        <v>23.65</v>
      </c>
      <c r="AQ102" s="8">
        <v>1.51</v>
      </c>
      <c r="AR102" s="8">
        <v>0.83</v>
      </c>
      <c r="AS102" s="8">
        <v>0.32</v>
      </c>
      <c r="AT102" s="8">
        <v>1.53</v>
      </c>
      <c r="AU102" s="6"/>
      <c r="AV102" s="8">
        <v>4.1900000000000004</v>
      </c>
      <c r="AW102" s="8">
        <v>1.63</v>
      </c>
      <c r="AX102" s="6"/>
      <c r="AY102" s="6"/>
      <c r="AZ102" s="8">
        <v>1.5</v>
      </c>
      <c r="BA102" s="6"/>
      <c r="BB102" s="8">
        <v>3.13</v>
      </c>
      <c r="BC102" s="8">
        <v>0.9</v>
      </c>
      <c r="BD102" s="8">
        <v>0.9</v>
      </c>
      <c r="BE102" s="8">
        <v>3.36</v>
      </c>
      <c r="BF102" s="8">
        <v>2.5</v>
      </c>
      <c r="BG102" s="8">
        <v>5.86</v>
      </c>
      <c r="BH102" s="6"/>
      <c r="BI102" s="6"/>
      <c r="BJ102" s="6"/>
      <c r="BK102" s="6"/>
      <c r="BL102" s="8">
        <v>98</v>
      </c>
      <c r="BM102" s="6"/>
      <c r="BN102" s="6"/>
      <c r="BO102" s="6"/>
      <c r="BP102" s="6"/>
      <c r="BQ102" s="8">
        <v>16.86</v>
      </c>
      <c r="BR102" s="8">
        <v>16.86</v>
      </c>
      <c r="BS102" s="8">
        <v>16.86</v>
      </c>
      <c r="BT102" s="6"/>
      <c r="BU102" s="6"/>
      <c r="BV102" s="6"/>
      <c r="BW102" s="6"/>
      <c r="BX102" s="6"/>
      <c r="BY102" s="6"/>
      <c r="BZ102" s="6"/>
      <c r="CA102" s="6"/>
      <c r="CB102" s="6"/>
      <c r="CC102" s="6"/>
      <c r="CD102" s="6"/>
      <c r="CE102" s="6"/>
      <c r="CF102" s="6"/>
      <c r="CG102" s="9">
        <v>114.86</v>
      </c>
    </row>
    <row r="103" spans="1:85" x14ac:dyDescent="0.3">
      <c r="A103" s="3" t="str">
        <f t="shared" si="3"/>
        <v>ADDOrganizational Excellence - Program SupportProgram Related Administration (PRA)Other Program Related Administration</v>
      </c>
      <c r="B103" s="6" t="s">
        <v>81</v>
      </c>
      <c r="C103" s="6" t="s">
        <v>166</v>
      </c>
      <c r="D103" s="6" t="s">
        <v>174</v>
      </c>
      <c r="E103" s="6" t="s">
        <v>175</v>
      </c>
      <c r="F103" s="8">
        <v>0.19</v>
      </c>
      <c r="G103" s="8">
        <v>0.17</v>
      </c>
      <c r="H103" s="8">
        <v>0.08</v>
      </c>
      <c r="I103" s="8">
        <v>0.2</v>
      </c>
      <c r="J103" s="8">
        <v>0.15</v>
      </c>
      <c r="K103" s="6"/>
      <c r="L103" s="8">
        <v>0.79</v>
      </c>
      <c r="M103" s="8">
        <v>0.19</v>
      </c>
      <c r="N103" s="8">
        <v>0.23</v>
      </c>
      <c r="O103" s="8">
        <v>0.21</v>
      </c>
      <c r="P103" s="8">
        <v>0.12</v>
      </c>
      <c r="Q103" s="8">
        <v>0.22</v>
      </c>
      <c r="R103" s="6"/>
      <c r="S103" s="8">
        <v>0.97</v>
      </c>
      <c r="T103" s="8">
        <v>0.19</v>
      </c>
      <c r="U103" s="8">
        <v>0.23</v>
      </c>
      <c r="V103" s="8">
        <v>0.12</v>
      </c>
      <c r="W103" s="8">
        <v>0.13</v>
      </c>
      <c r="X103" s="8">
        <v>7.0000000000000007E-2</v>
      </c>
      <c r="Y103" s="8">
        <v>0</v>
      </c>
      <c r="Z103" s="6"/>
      <c r="AA103" s="8">
        <v>0.74</v>
      </c>
      <c r="AB103" s="8">
        <v>0.27</v>
      </c>
      <c r="AC103" s="8">
        <v>0.19</v>
      </c>
      <c r="AD103" s="8">
        <v>0.4</v>
      </c>
      <c r="AE103" s="8">
        <v>0.43</v>
      </c>
      <c r="AF103" s="8">
        <v>0.12</v>
      </c>
      <c r="AG103" s="6"/>
      <c r="AH103" s="8">
        <v>1.41</v>
      </c>
      <c r="AI103" s="8">
        <v>0.27</v>
      </c>
      <c r="AJ103" s="8">
        <v>0.25</v>
      </c>
      <c r="AK103" s="8">
        <v>0.32</v>
      </c>
      <c r="AL103" s="8">
        <v>0.23</v>
      </c>
      <c r="AM103" s="8">
        <v>0.17</v>
      </c>
      <c r="AN103" s="8">
        <v>0.28999999999999998</v>
      </c>
      <c r="AO103" s="6"/>
      <c r="AP103" s="8">
        <v>1.53</v>
      </c>
      <c r="AQ103" s="8">
        <v>0.1</v>
      </c>
      <c r="AR103" s="8">
        <v>0.05</v>
      </c>
      <c r="AS103" s="8">
        <v>0.02</v>
      </c>
      <c r="AT103" s="8">
        <v>0.1</v>
      </c>
      <c r="AU103" s="6"/>
      <c r="AV103" s="8">
        <v>0.27</v>
      </c>
      <c r="AW103" s="8">
        <v>0.1</v>
      </c>
      <c r="AX103" s="6"/>
      <c r="AY103" s="6"/>
      <c r="AZ103" s="8">
        <v>0.1</v>
      </c>
      <c r="BA103" s="6"/>
      <c r="BB103" s="8">
        <v>0.2</v>
      </c>
      <c r="BC103" s="8">
        <v>0.06</v>
      </c>
      <c r="BD103" s="8">
        <v>0.06</v>
      </c>
      <c r="BE103" s="8">
        <v>0.22</v>
      </c>
      <c r="BF103" s="8">
        <v>0.16</v>
      </c>
      <c r="BG103" s="8">
        <v>0.38</v>
      </c>
      <c r="BH103" s="6"/>
      <c r="BI103" s="6"/>
      <c r="BJ103" s="6"/>
      <c r="BK103" s="6"/>
      <c r="BL103" s="8">
        <v>6.35</v>
      </c>
      <c r="BM103" s="6"/>
      <c r="BN103" s="6"/>
      <c r="BO103" s="6"/>
      <c r="BP103" s="6"/>
      <c r="BQ103" s="8">
        <v>1.0900000000000001</v>
      </c>
      <c r="BR103" s="8">
        <v>1.0900000000000001</v>
      </c>
      <c r="BS103" s="8">
        <v>1.0900000000000001</v>
      </c>
      <c r="BT103" s="6"/>
      <c r="BU103" s="6"/>
      <c r="BV103" s="6"/>
      <c r="BW103" s="6"/>
      <c r="BX103" s="6"/>
      <c r="BY103" s="6"/>
      <c r="BZ103" s="6"/>
      <c r="CA103" s="6"/>
      <c r="CB103" s="6"/>
      <c r="CC103" s="6"/>
      <c r="CD103" s="6"/>
      <c r="CE103" s="6"/>
      <c r="CF103" s="6"/>
      <c r="CG103" s="9">
        <v>7.44</v>
      </c>
    </row>
    <row r="104" spans="1:85" x14ac:dyDescent="0.3">
      <c r="A104" s="3" t="str">
        <f t="shared" si="3"/>
        <v>ADDOrganizational Excellence - Program SupportProgram Related Administration (PRA)Program Related Technology (PRT)</v>
      </c>
      <c r="B104" s="6" t="s">
        <v>81</v>
      </c>
      <c r="C104" s="6" t="s">
        <v>166</v>
      </c>
      <c r="D104" s="6" t="s">
        <v>174</v>
      </c>
      <c r="E104" s="6" t="s">
        <v>176</v>
      </c>
      <c r="F104" s="8">
        <v>2.71</v>
      </c>
      <c r="G104" s="8">
        <v>2.4700000000000002</v>
      </c>
      <c r="H104" s="8">
        <v>1.22</v>
      </c>
      <c r="I104" s="8">
        <v>2.86</v>
      </c>
      <c r="J104" s="8">
        <v>2.15</v>
      </c>
      <c r="K104" s="6"/>
      <c r="L104" s="8">
        <v>11.41</v>
      </c>
      <c r="M104" s="8">
        <v>2.76</v>
      </c>
      <c r="N104" s="8">
        <v>3.33</v>
      </c>
      <c r="O104" s="8">
        <v>2.99</v>
      </c>
      <c r="P104" s="8">
        <v>1.69</v>
      </c>
      <c r="Q104" s="8">
        <v>3.16</v>
      </c>
      <c r="R104" s="6"/>
      <c r="S104" s="8">
        <v>13.93</v>
      </c>
      <c r="T104" s="8">
        <v>2.83</v>
      </c>
      <c r="U104" s="8">
        <v>3.33</v>
      </c>
      <c r="V104" s="8">
        <v>1.71</v>
      </c>
      <c r="W104" s="8">
        <v>1.82</v>
      </c>
      <c r="X104" s="8">
        <v>0.94</v>
      </c>
      <c r="Y104" s="8">
        <v>0</v>
      </c>
      <c r="Z104" s="6"/>
      <c r="AA104" s="8">
        <v>10.63</v>
      </c>
      <c r="AB104" s="8">
        <v>3.95</v>
      </c>
      <c r="AC104" s="8">
        <v>2.77</v>
      </c>
      <c r="AD104" s="8">
        <v>5.73</v>
      </c>
      <c r="AE104" s="8">
        <v>6.21</v>
      </c>
      <c r="AF104" s="8">
        <v>1.73</v>
      </c>
      <c r="AG104" s="6"/>
      <c r="AH104" s="8">
        <v>20.39</v>
      </c>
      <c r="AI104" s="8">
        <v>3.89</v>
      </c>
      <c r="AJ104" s="8">
        <v>3.65</v>
      </c>
      <c r="AK104" s="8">
        <v>4.6500000000000004</v>
      </c>
      <c r="AL104" s="8">
        <v>3.35</v>
      </c>
      <c r="AM104" s="8">
        <v>2.39</v>
      </c>
      <c r="AN104" s="8">
        <v>4.1900000000000004</v>
      </c>
      <c r="AO104" s="6"/>
      <c r="AP104" s="8">
        <v>22.12</v>
      </c>
      <c r="AQ104" s="8">
        <v>1.41</v>
      </c>
      <c r="AR104" s="8">
        <v>0.78</v>
      </c>
      <c r="AS104" s="8">
        <v>0.3</v>
      </c>
      <c r="AT104" s="8">
        <v>1.43</v>
      </c>
      <c r="AU104" s="6"/>
      <c r="AV104" s="8">
        <v>3.92</v>
      </c>
      <c r="AW104" s="8">
        <v>1.53</v>
      </c>
      <c r="AX104" s="6"/>
      <c r="AY104" s="6"/>
      <c r="AZ104" s="8">
        <v>1.4</v>
      </c>
      <c r="BA104" s="6"/>
      <c r="BB104" s="8">
        <v>2.93</v>
      </c>
      <c r="BC104" s="8">
        <v>0.84</v>
      </c>
      <c r="BD104" s="8">
        <v>0.84</v>
      </c>
      <c r="BE104" s="8">
        <v>3.14</v>
      </c>
      <c r="BF104" s="8">
        <v>2.34</v>
      </c>
      <c r="BG104" s="8">
        <v>5.48</v>
      </c>
      <c r="BH104" s="6"/>
      <c r="BI104" s="6"/>
      <c r="BJ104" s="6"/>
      <c r="BK104" s="6"/>
      <c r="BL104" s="8">
        <v>91.65</v>
      </c>
      <c r="BM104" s="6"/>
      <c r="BN104" s="6"/>
      <c r="BO104" s="6"/>
      <c r="BP104" s="6"/>
      <c r="BQ104" s="8">
        <v>15.77</v>
      </c>
      <c r="BR104" s="8">
        <v>15.77</v>
      </c>
      <c r="BS104" s="8">
        <v>15.77</v>
      </c>
      <c r="BT104" s="6"/>
      <c r="BU104" s="6"/>
      <c r="BV104" s="6"/>
      <c r="BW104" s="6"/>
      <c r="BX104" s="6"/>
      <c r="BY104" s="6"/>
      <c r="BZ104" s="6"/>
      <c r="CA104" s="6"/>
      <c r="CB104" s="6"/>
      <c r="CC104" s="6"/>
      <c r="CD104" s="6"/>
      <c r="CE104" s="6"/>
      <c r="CF104" s="6"/>
      <c r="CG104" s="9">
        <v>107.42</v>
      </c>
    </row>
    <row r="105" spans="1:85" x14ac:dyDescent="0.3">
      <c r="A105" s="3" t="str">
        <f t="shared" si="3"/>
        <v>ADDOrganizational Excellence - Program SupportResearch Resources – Public Access InitiativeTotal</v>
      </c>
      <c r="B105" s="6" t="s">
        <v>81</v>
      </c>
      <c r="C105" s="6" t="s">
        <v>166</v>
      </c>
      <c r="D105" s="6" t="s">
        <v>177</v>
      </c>
      <c r="E105" s="6" t="s">
        <v>24</v>
      </c>
      <c r="F105" s="6"/>
      <c r="G105" s="6"/>
      <c r="H105" s="6"/>
      <c r="I105" s="6"/>
      <c r="J105" s="6"/>
      <c r="K105" s="6"/>
      <c r="L105" s="6"/>
      <c r="M105" s="6"/>
      <c r="N105" s="6"/>
      <c r="O105" s="6"/>
      <c r="P105" s="6"/>
      <c r="Q105" s="8">
        <v>1.75</v>
      </c>
      <c r="R105" s="6"/>
      <c r="S105" s="8">
        <v>1.75</v>
      </c>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8">
        <v>0</v>
      </c>
      <c r="AT105" s="6"/>
      <c r="AU105" s="6"/>
      <c r="AV105" s="8">
        <v>0</v>
      </c>
      <c r="AW105" s="6"/>
      <c r="AX105" s="6"/>
      <c r="AY105" s="6"/>
      <c r="AZ105" s="6"/>
      <c r="BA105" s="6"/>
      <c r="BB105" s="6"/>
      <c r="BC105" s="6"/>
      <c r="BD105" s="6"/>
      <c r="BE105" s="6"/>
      <c r="BF105" s="6"/>
      <c r="BG105" s="6"/>
      <c r="BH105" s="6"/>
      <c r="BI105" s="6"/>
      <c r="BJ105" s="6"/>
      <c r="BK105" s="6"/>
      <c r="BL105" s="8">
        <v>1.75</v>
      </c>
      <c r="BM105" s="6"/>
      <c r="BN105" s="6"/>
      <c r="BO105" s="6"/>
      <c r="BP105" s="6"/>
      <c r="BQ105" s="6"/>
      <c r="BR105" s="6"/>
      <c r="BS105" s="6"/>
      <c r="BT105" s="6"/>
      <c r="BU105" s="6"/>
      <c r="BV105" s="6"/>
      <c r="BW105" s="6"/>
      <c r="BX105" s="6"/>
      <c r="BY105" s="6"/>
      <c r="BZ105" s="6"/>
      <c r="CA105" s="6"/>
      <c r="CB105" s="6"/>
      <c r="CC105" s="6"/>
      <c r="CD105" s="6"/>
      <c r="CE105" s="6"/>
      <c r="CF105" s="6"/>
      <c r="CG105" s="9">
        <v>1.75</v>
      </c>
    </row>
    <row r="106" spans="1:85" x14ac:dyDescent="0.3">
      <c r="A106" s="3" t="str">
        <f t="shared" si="3"/>
        <v>ADDOrganizational Excellence - Program SupportResearch Security Strategy and PolicyTotal</v>
      </c>
      <c r="B106" s="6" t="s">
        <v>81</v>
      </c>
      <c r="C106" s="6" t="s">
        <v>166</v>
      </c>
      <c r="D106" s="6" t="s">
        <v>178</v>
      </c>
      <c r="E106" s="6" t="s">
        <v>24</v>
      </c>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8">
        <v>1.5</v>
      </c>
      <c r="BG106" s="8">
        <v>1.5</v>
      </c>
      <c r="BH106" s="6"/>
      <c r="BI106" s="6"/>
      <c r="BJ106" s="6"/>
      <c r="BK106" s="6"/>
      <c r="BL106" s="8">
        <v>1.5</v>
      </c>
      <c r="BM106" s="6"/>
      <c r="BN106" s="6"/>
      <c r="BO106" s="6"/>
      <c r="BP106" s="6"/>
      <c r="BQ106" s="6"/>
      <c r="BR106" s="6"/>
      <c r="BS106" s="6"/>
      <c r="BT106" s="6"/>
      <c r="BU106" s="6"/>
      <c r="BV106" s="6"/>
      <c r="BW106" s="6"/>
      <c r="BX106" s="6"/>
      <c r="BY106" s="6"/>
      <c r="BZ106" s="6"/>
      <c r="CA106" s="6"/>
      <c r="CB106" s="6"/>
      <c r="CC106" s="6"/>
      <c r="CD106" s="6"/>
      <c r="CE106" s="6"/>
      <c r="CF106" s="6"/>
      <c r="CG106" s="9">
        <v>1.5</v>
      </c>
    </row>
    <row r="107" spans="1:85" x14ac:dyDescent="0.3">
      <c r="A107" s="3" t="str">
        <f t="shared" si="3"/>
        <v>ADDResearch InfrastructureTotalTotal</v>
      </c>
      <c r="B107" s="6" t="s">
        <v>81</v>
      </c>
      <c r="C107" s="6" t="s">
        <v>179</v>
      </c>
      <c r="D107" s="6" t="s">
        <v>24</v>
      </c>
      <c r="E107" s="6" t="s">
        <v>24</v>
      </c>
      <c r="F107" s="8">
        <v>110.86</v>
      </c>
      <c r="G107" s="6"/>
      <c r="H107" s="6"/>
      <c r="I107" s="8">
        <v>10</v>
      </c>
      <c r="J107" s="8">
        <v>1</v>
      </c>
      <c r="K107" s="6"/>
      <c r="L107" s="8">
        <v>121.86</v>
      </c>
      <c r="M107" s="8">
        <v>1.6</v>
      </c>
      <c r="N107" s="8">
        <v>29</v>
      </c>
      <c r="O107" s="8">
        <v>3</v>
      </c>
      <c r="P107" s="8">
        <v>7.84</v>
      </c>
      <c r="Q107" s="8">
        <v>129.80000000000001</v>
      </c>
      <c r="R107" s="6"/>
      <c r="S107" s="8">
        <v>171.24</v>
      </c>
      <c r="T107" s="8">
        <v>3.69</v>
      </c>
      <c r="U107" s="8">
        <v>14.7</v>
      </c>
      <c r="V107" s="8">
        <v>5.34</v>
      </c>
      <c r="W107" s="6"/>
      <c r="X107" s="8">
        <v>0.1</v>
      </c>
      <c r="Y107" s="6"/>
      <c r="Z107" s="6"/>
      <c r="AA107" s="8">
        <v>23.83</v>
      </c>
      <c r="AB107" s="8">
        <v>141.81</v>
      </c>
      <c r="AC107" s="8">
        <v>60.38</v>
      </c>
      <c r="AD107" s="8">
        <v>222.08</v>
      </c>
      <c r="AE107" s="8">
        <v>331.47</v>
      </c>
      <c r="AF107" s="8">
        <v>0</v>
      </c>
      <c r="AG107" s="6"/>
      <c r="AH107" s="8">
        <v>755.74</v>
      </c>
      <c r="AI107" s="8">
        <v>211.25</v>
      </c>
      <c r="AJ107" s="8">
        <v>8.08</v>
      </c>
      <c r="AK107" s="8">
        <v>67.349999999999994</v>
      </c>
      <c r="AL107" s="6"/>
      <c r="AM107" s="8">
        <v>1</v>
      </c>
      <c r="AN107" s="8">
        <v>87.7</v>
      </c>
      <c r="AO107" s="6"/>
      <c r="AP107" s="8">
        <v>375.38</v>
      </c>
      <c r="AQ107" s="8">
        <v>4.5</v>
      </c>
      <c r="AR107" s="8">
        <v>55.68</v>
      </c>
      <c r="AS107" s="8">
        <v>0</v>
      </c>
      <c r="AT107" s="8">
        <v>5.49</v>
      </c>
      <c r="AU107" s="6"/>
      <c r="AV107" s="8">
        <v>65.67</v>
      </c>
      <c r="AW107" s="6"/>
      <c r="AX107" s="6"/>
      <c r="AY107" s="6"/>
      <c r="AZ107" s="6"/>
      <c r="BA107" s="6"/>
      <c r="BB107" s="6"/>
      <c r="BC107" s="8">
        <v>0.1</v>
      </c>
      <c r="BD107" s="8">
        <v>0.1</v>
      </c>
      <c r="BE107" s="6"/>
      <c r="BF107" s="8">
        <v>122.09</v>
      </c>
      <c r="BG107" s="8">
        <v>122.09</v>
      </c>
      <c r="BH107" s="6"/>
      <c r="BI107" s="6"/>
      <c r="BJ107" s="8">
        <v>85</v>
      </c>
      <c r="BK107" s="8">
        <v>85</v>
      </c>
      <c r="BL107" s="8">
        <v>1720.91</v>
      </c>
      <c r="BM107" s="6"/>
      <c r="BN107" s="6"/>
      <c r="BO107" s="6"/>
      <c r="BP107" s="6"/>
      <c r="BQ107" s="6"/>
      <c r="BR107" s="6"/>
      <c r="BS107" s="6"/>
      <c r="BT107" s="8">
        <v>239.52</v>
      </c>
      <c r="BU107" s="8">
        <v>239.52</v>
      </c>
      <c r="BV107" s="8">
        <v>239.52</v>
      </c>
      <c r="BW107" s="6"/>
      <c r="BX107" s="6"/>
      <c r="BY107" s="6"/>
      <c r="BZ107" s="6"/>
      <c r="CA107" s="6"/>
      <c r="CB107" s="6"/>
      <c r="CC107" s="6"/>
      <c r="CD107" s="6"/>
      <c r="CE107" s="6"/>
      <c r="CF107" s="6"/>
      <c r="CG107" s="9">
        <v>1960.43</v>
      </c>
    </row>
    <row r="108" spans="1:85" x14ac:dyDescent="0.3">
      <c r="A108" s="3" t="str">
        <f t="shared" si="3"/>
        <v>ADDResearch InfrastructureAcademic Research FleetTotal</v>
      </c>
      <c r="B108" s="6" t="s">
        <v>81</v>
      </c>
      <c r="C108" s="6" t="s">
        <v>179</v>
      </c>
      <c r="D108" s="6" t="s">
        <v>180</v>
      </c>
      <c r="E108" s="6" t="s">
        <v>24</v>
      </c>
      <c r="F108" s="6"/>
      <c r="G108" s="6"/>
      <c r="H108" s="6"/>
      <c r="I108" s="6"/>
      <c r="J108" s="6"/>
      <c r="K108" s="6"/>
      <c r="L108" s="6"/>
      <c r="M108" s="6"/>
      <c r="N108" s="6"/>
      <c r="O108" s="6"/>
      <c r="P108" s="6"/>
      <c r="Q108" s="6"/>
      <c r="R108" s="6"/>
      <c r="S108" s="6"/>
      <c r="T108" s="6"/>
      <c r="U108" s="6"/>
      <c r="V108" s="6"/>
      <c r="W108" s="6"/>
      <c r="X108" s="6"/>
      <c r="Y108" s="6"/>
      <c r="Z108" s="6"/>
      <c r="AA108" s="6"/>
      <c r="AB108" s="6"/>
      <c r="AC108" s="6"/>
      <c r="AD108" s="8">
        <v>115.38</v>
      </c>
      <c r="AE108" s="6"/>
      <c r="AF108" s="6"/>
      <c r="AG108" s="6"/>
      <c r="AH108" s="8">
        <v>115.38</v>
      </c>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8">
        <v>115.38</v>
      </c>
      <c r="BM108" s="6"/>
      <c r="BN108" s="6"/>
      <c r="BO108" s="6"/>
      <c r="BP108" s="6"/>
      <c r="BQ108" s="6"/>
      <c r="BR108" s="6"/>
      <c r="BS108" s="6"/>
      <c r="BT108" s="8">
        <v>5</v>
      </c>
      <c r="BU108" s="8">
        <v>5</v>
      </c>
      <c r="BV108" s="8">
        <v>5</v>
      </c>
      <c r="BW108" s="6"/>
      <c r="BX108" s="6"/>
      <c r="BY108" s="6"/>
      <c r="BZ108" s="6"/>
      <c r="CA108" s="6"/>
      <c r="CB108" s="6"/>
      <c r="CC108" s="6"/>
      <c r="CD108" s="6"/>
      <c r="CE108" s="6"/>
      <c r="CF108" s="6"/>
      <c r="CG108" s="9">
        <v>120.38</v>
      </c>
    </row>
    <row r="109" spans="1:85" x14ac:dyDescent="0.3">
      <c r="A109" s="3" t="str">
        <f t="shared" si="3"/>
        <v>ADDResearch InfrastructureAcademic Research FleetARF-Academic Research Fleet, Ship Ops &amp; Upgrades</v>
      </c>
      <c r="B109" s="6" t="s">
        <v>81</v>
      </c>
      <c r="C109" s="6" t="s">
        <v>179</v>
      </c>
      <c r="D109" s="6" t="s">
        <v>180</v>
      </c>
      <c r="E109" s="6" t="s">
        <v>181</v>
      </c>
      <c r="F109" s="6"/>
      <c r="G109" s="6"/>
      <c r="H109" s="6"/>
      <c r="I109" s="6"/>
      <c r="J109" s="6"/>
      <c r="K109" s="6"/>
      <c r="L109" s="6"/>
      <c r="M109" s="6"/>
      <c r="N109" s="6"/>
      <c r="O109" s="6"/>
      <c r="P109" s="6"/>
      <c r="Q109" s="6"/>
      <c r="R109" s="6"/>
      <c r="S109" s="6"/>
      <c r="T109" s="6"/>
      <c r="U109" s="6"/>
      <c r="V109" s="6"/>
      <c r="W109" s="6"/>
      <c r="X109" s="6"/>
      <c r="Y109" s="6"/>
      <c r="Z109" s="6"/>
      <c r="AA109" s="6"/>
      <c r="AB109" s="6"/>
      <c r="AC109" s="6"/>
      <c r="AD109" s="8">
        <v>115.38</v>
      </c>
      <c r="AE109" s="6"/>
      <c r="AF109" s="6"/>
      <c r="AG109" s="6"/>
      <c r="AH109" s="8">
        <v>115.38</v>
      </c>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8">
        <v>115.38</v>
      </c>
      <c r="BM109" s="6"/>
      <c r="BN109" s="6"/>
      <c r="BO109" s="6"/>
      <c r="BP109" s="6"/>
      <c r="BQ109" s="6"/>
      <c r="BR109" s="6"/>
      <c r="BS109" s="6"/>
      <c r="BT109" s="6"/>
      <c r="BU109" s="6"/>
      <c r="BV109" s="6"/>
      <c r="BW109" s="6"/>
      <c r="BX109" s="6"/>
      <c r="BY109" s="6"/>
      <c r="BZ109" s="6"/>
      <c r="CA109" s="6"/>
      <c r="CB109" s="6"/>
      <c r="CC109" s="6"/>
      <c r="CD109" s="6"/>
      <c r="CE109" s="6"/>
      <c r="CF109" s="6"/>
      <c r="CG109" s="9">
        <v>115.38</v>
      </c>
    </row>
    <row r="110" spans="1:85" x14ac:dyDescent="0.3">
      <c r="A110" s="3" t="str">
        <f t="shared" si="3"/>
        <v>ADDResearch InfrastructureAcademic Research FleetARF-Regional Class Research Vessels (RCRV)</v>
      </c>
      <c r="B110" s="6" t="s">
        <v>81</v>
      </c>
      <c r="C110" s="6" t="s">
        <v>179</v>
      </c>
      <c r="D110" s="6" t="s">
        <v>180</v>
      </c>
      <c r="E110" s="6" t="s">
        <v>182</v>
      </c>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8">
        <v>5</v>
      </c>
      <c r="BU110" s="8">
        <v>5</v>
      </c>
      <c r="BV110" s="8">
        <v>5</v>
      </c>
      <c r="BW110" s="6"/>
      <c r="BX110" s="6"/>
      <c r="BY110" s="6"/>
      <c r="BZ110" s="6"/>
      <c r="CA110" s="6"/>
      <c r="CB110" s="6"/>
      <c r="CC110" s="6"/>
      <c r="CD110" s="6"/>
      <c r="CE110" s="6"/>
      <c r="CF110" s="6"/>
      <c r="CG110" s="9">
        <v>5</v>
      </c>
    </row>
    <row r="111" spans="1:85" x14ac:dyDescent="0.3">
      <c r="A111" s="3" t="str">
        <f t="shared" si="3"/>
        <v>ADDResearch InfrastructureAntarctic Facilities and OperationsTotal</v>
      </c>
      <c r="B111" s="6" t="s">
        <v>81</v>
      </c>
      <c r="C111" s="6" t="s">
        <v>179</v>
      </c>
      <c r="D111" s="6" t="s">
        <v>183</v>
      </c>
      <c r="E111" s="6" t="s">
        <v>24</v>
      </c>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8">
        <v>233.8</v>
      </c>
      <c r="AF111" s="6"/>
      <c r="AG111" s="6"/>
      <c r="AH111" s="8">
        <v>233.8</v>
      </c>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8">
        <v>233.8</v>
      </c>
      <c r="BM111" s="6"/>
      <c r="BN111" s="6"/>
      <c r="BO111" s="6"/>
      <c r="BP111" s="6"/>
      <c r="BQ111" s="6"/>
      <c r="BR111" s="6"/>
      <c r="BS111" s="6"/>
      <c r="BT111" s="6"/>
      <c r="BU111" s="6"/>
      <c r="BV111" s="6"/>
      <c r="BW111" s="6"/>
      <c r="BX111" s="6"/>
      <c r="BY111" s="6"/>
      <c r="BZ111" s="6"/>
      <c r="CA111" s="6"/>
      <c r="CB111" s="6"/>
      <c r="CC111" s="6"/>
      <c r="CD111" s="6"/>
      <c r="CE111" s="6"/>
      <c r="CF111" s="6"/>
      <c r="CG111" s="9">
        <v>233.8</v>
      </c>
    </row>
    <row r="112" spans="1:85" x14ac:dyDescent="0.3">
      <c r="A112" s="3" t="str">
        <f t="shared" si="3"/>
        <v>ADDResearch InfrastructureAntarctic Infrastructure Modernization for Science (AIMS)Total</v>
      </c>
      <c r="B112" s="6" t="s">
        <v>81</v>
      </c>
      <c r="C112" s="6" t="s">
        <v>179</v>
      </c>
      <c r="D112" s="6" t="s">
        <v>184</v>
      </c>
      <c r="E112" s="6" t="s">
        <v>24</v>
      </c>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8">
        <v>0</v>
      </c>
      <c r="AF112" s="6"/>
      <c r="AG112" s="6"/>
      <c r="AH112" s="8">
        <v>0</v>
      </c>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8">
        <v>0</v>
      </c>
      <c r="BM112" s="6"/>
      <c r="BN112" s="6"/>
      <c r="BO112" s="6"/>
      <c r="BP112" s="6"/>
      <c r="BQ112" s="6"/>
      <c r="BR112" s="6"/>
      <c r="BS112" s="6"/>
      <c r="BT112" s="6"/>
      <c r="BU112" s="6"/>
      <c r="BV112" s="6"/>
      <c r="BW112" s="6"/>
      <c r="BX112" s="6"/>
      <c r="BY112" s="6"/>
      <c r="BZ112" s="6"/>
      <c r="CA112" s="6"/>
      <c r="CB112" s="6"/>
      <c r="CC112" s="6"/>
      <c r="CD112" s="6"/>
      <c r="CE112" s="6"/>
      <c r="CF112" s="6"/>
      <c r="CG112" s="9">
        <v>0</v>
      </c>
    </row>
    <row r="113" spans="1:85" x14ac:dyDescent="0.3">
      <c r="A113" s="3" t="str">
        <f t="shared" si="3"/>
        <v>ADDResearch InfrastructureAntarctic Infrastructure Recapitalization (AIR)Total</v>
      </c>
      <c r="B113" s="6" t="s">
        <v>81</v>
      </c>
      <c r="C113" s="6" t="s">
        <v>179</v>
      </c>
      <c r="D113" s="6" t="s">
        <v>185</v>
      </c>
      <c r="E113" s="6" t="s">
        <v>24</v>
      </c>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8">
        <v>90</v>
      </c>
      <c r="BU113" s="8">
        <v>90</v>
      </c>
      <c r="BV113" s="8">
        <v>90</v>
      </c>
      <c r="BW113" s="6"/>
      <c r="BX113" s="6"/>
      <c r="BY113" s="6"/>
      <c r="BZ113" s="6"/>
      <c r="CA113" s="6"/>
      <c r="CB113" s="6"/>
      <c r="CC113" s="6"/>
      <c r="CD113" s="6"/>
      <c r="CE113" s="6"/>
      <c r="CF113" s="6"/>
      <c r="CG113" s="9">
        <v>90</v>
      </c>
    </row>
    <row r="114" spans="1:85" x14ac:dyDescent="0.3">
      <c r="A114" s="3" t="str">
        <f t="shared" si="3"/>
        <v>ADDResearch InfrastructureAntarctic LogisticsTotal</v>
      </c>
      <c r="B114" s="6" t="s">
        <v>81</v>
      </c>
      <c r="C114" s="6" t="s">
        <v>179</v>
      </c>
      <c r="D114" s="6" t="s">
        <v>186</v>
      </c>
      <c r="E114" s="6" t="s">
        <v>24</v>
      </c>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8">
        <v>0</v>
      </c>
      <c r="AF114" s="6"/>
      <c r="AG114" s="6"/>
      <c r="AH114" s="8">
        <v>0</v>
      </c>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8">
        <v>85</v>
      </c>
      <c r="BK114" s="8">
        <v>85</v>
      </c>
      <c r="BL114" s="8">
        <v>85</v>
      </c>
      <c r="BM114" s="6"/>
      <c r="BN114" s="6"/>
      <c r="BO114" s="6"/>
      <c r="BP114" s="6"/>
      <c r="BQ114" s="6"/>
      <c r="BR114" s="6"/>
      <c r="BS114" s="6"/>
      <c r="BT114" s="6"/>
      <c r="BU114" s="6"/>
      <c r="BV114" s="6"/>
      <c r="BW114" s="6"/>
      <c r="BX114" s="6"/>
      <c r="BY114" s="6"/>
      <c r="BZ114" s="6"/>
      <c r="CA114" s="6"/>
      <c r="CB114" s="6"/>
      <c r="CC114" s="6"/>
      <c r="CD114" s="6"/>
      <c r="CE114" s="6"/>
      <c r="CF114" s="6"/>
      <c r="CG114" s="9">
        <v>85</v>
      </c>
    </row>
    <row r="115" spans="1:85" x14ac:dyDescent="0.3">
      <c r="A115" s="3" t="str">
        <f t="shared" si="3"/>
        <v>ADDResearch InfrastructureArctic LogisticsTotal</v>
      </c>
      <c r="B115" s="6" t="s">
        <v>81</v>
      </c>
      <c r="C115" s="6" t="s">
        <v>179</v>
      </c>
      <c r="D115" s="6" t="s">
        <v>187</v>
      </c>
      <c r="E115" s="6" t="s">
        <v>24</v>
      </c>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8">
        <v>58.57</v>
      </c>
      <c r="AF115" s="6"/>
      <c r="AG115" s="6"/>
      <c r="AH115" s="8">
        <v>58.57</v>
      </c>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8">
        <v>58.57</v>
      </c>
      <c r="BM115" s="6"/>
      <c r="BN115" s="6"/>
      <c r="BO115" s="6"/>
      <c r="BP115" s="6"/>
      <c r="BQ115" s="6"/>
      <c r="BR115" s="6"/>
      <c r="BS115" s="6"/>
      <c r="BT115" s="6"/>
      <c r="BU115" s="6"/>
      <c r="BV115" s="6"/>
      <c r="BW115" s="6"/>
      <c r="BX115" s="6"/>
      <c r="BY115" s="6"/>
      <c r="BZ115" s="6"/>
      <c r="CA115" s="6"/>
      <c r="CB115" s="6"/>
      <c r="CC115" s="6"/>
      <c r="CD115" s="6"/>
      <c r="CE115" s="6"/>
      <c r="CF115" s="6"/>
      <c r="CG115" s="9">
        <v>58.57</v>
      </c>
    </row>
    <row r="116" spans="1:85" x14ac:dyDescent="0.3">
      <c r="A116" s="3" t="str">
        <f t="shared" si="3"/>
        <v>ADDResearch InfrastructureArecibo ObservatoryTotal</v>
      </c>
      <c r="B116" s="6" t="s">
        <v>81</v>
      </c>
      <c r="C116" s="6" t="s">
        <v>179</v>
      </c>
      <c r="D116" s="6" t="s">
        <v>188</v>
      </c>
      <c r="E116" s="6" t="s">
        <v>24</v>
      </c>
      <c r="F116" s="6"/>
      <c r="G116" s="6"/>
      <c r="H116" s="6"/>
      <c r="I116" s="6"/>
      <c r="J116" s="6"/>
      <c r="K116" s="6"/>
      <c r="L116" s="6"/>
      <c r="M116" s="6"/>
      <c r="N116" s="6"/>
      <c r="O116" s="6"/>
      <c r="P116" s="6"/>
      <c r="Q116" s="6"/>
      <c r="R116" s="6"/>
      <c r="S116" s="6"/>
      <c r="T116" s="6"/>
      <c r="U116" s="6"/>
      <c r="V116" s="6"/>
      <c r="W116" s="6"/>
      <c r="X116" s="6"/>
      <c r="Y116" s="6"/>
      <c r="Z116" s="6"/>
      <c r="AA116" s="6"/>
      <c r="AB116" s="8">
        <v>9.7799999999999994</v>
      </c>
      <c r="AC116" s="6"/>
      <c r="AD116" s="6"/>
      <c r="AE116" s="6"/>
      <c r="AF116" s="6"/>
      <c r="AG116" s="6"/>
      <c r="AH116" s="8">
        <v>9.7799999999999994</v>
      </c>
      <c r="AI116" s="8">
        <v>2.42</v>
      </c>
      <c r="AJ116" s="6"/>
      <c r="AK116" s="6"/>
      <c r="AL116" s="6"/>
      <c r="AM116" s="8">
        <v>0</v>
      </c>
      <c r="AN116" s="6"/>
      <c r="AO116" s="6"/>
      <c r="AP116" s="8">
        <v>2.42</v>
      </c>
      <c r="AQ116" s="6"/>
      <c r="AR116" s="6"/>
      <c r="AS116" s="6"/>
      <c r="AT116" s="6"/>
      <c r="AU116" s="6"/>
      <c r="AV116" s="6"/>
      <c r="AW116" s="6"/>
      <c r="AX116" s="6"/>
      <c r="AY116" s="6"/>
      <c r="AZ116" s="6"/>
      <c r="BA116" s="6"/>
      <c r="BB116" s="6"/>
      <c r="BC116" s="6"/>
      <c r="BD116" s="6"/>
      <c r="BE116" s="6"/>
      <c r="BF116" s="6"/>
      <c r="BG116" s="6"/>
      <c r="BH116" s="6"/>
      <c r="BI116" s="6"/>
      <c r="BJ116" s="6"/>
      <c r="BK116" s="6"/>
      <c r="BL116" s="8">
        <v>12.2</v>
      </c>
      <c r="BM116" s="6"/>
      <c r="BN116" s="6"/>
      <c r="BO116" s="6"/>
      <c r="BP116" s="6"/>
      <c r="BQ116" s="6"/>
      <c r="BR116" s="6"/>
      <c r="BS116" s="6"/>
      <c r="BT116" s="6"/>
      <c r="BU116" s="6"/>
      <c r="BV116" s="6"/>
      <c r="BW116" s="6"/>
      <c r="BX116" s="6"/>
      <c r="BY116" s="6"/>
      <c r="BZ116" s="6"/>
      <c r="CA116" s="6"/>
      <c r="CB116" s="6"/>
      <c r="CC116" s="6"/>
      <c r="CD116" s="6"/>
      <c r="CE116" s="6"/>
      <c r="CF116" s="6"/>
      <c r="CG116" s="9">
        <v>12.2</v>
      </c>
    </row>
    <row r="117" spans="1:85" x14ac:dyDescent="0.3">
      <c r="A117" s="3" t="str">
        <f t="shared" si="3"/>
        <v>ADDResearch InfrastructureAST Portfolio Review ImplementationTotal</v>
      </c>
      <c r="B117" s="6" t="s">
        <v>81</v>
      </c>
      <c r="C117" s="6" t="s">
        <v>179</v>
      </c>
      <c r="D117" s="6" t="s">
        <v>189</v>
      </c>
      <c r="E117" s="6" t="s">
        <v>24</v>
      </c>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8">
        <v>1.8</v>
      </c>
      <c r="AJ117" s="6"/>
      <c r="AK117" s="6"/>
      <c r="AL117" s="6"/>
      <c r="AM117" s="6"/>
      <c r="AN117" s="6"/>
      <c r="AO117" s="6"/>
      <c r="AP117" s="8">
        <v>1.8</v>
      </c>
      <c r="AQ117" s="6"/>
      <c r="AR117" s="6"/>
      <c r="AS117" s="6"/>
      <c r="AT117" s="6"/>
      <c r="AU117" s="6"/>
      <c r="AV117" s="6"/>
      <c r="AW117" s="6"/>
      <c r="AX117" s="6"/>
      <c r="AY117" s="6"/>
      <c r="AZ117" s="6"/>
      <c r="BA117" s="6"/>
      <c r="BB117" s="6"/>
      <c r="BC117" s="6"/>
      <c r="BD117" s="6"/>
      <c r="BE117" s="6"/>
      <c r="BF117" s="6"/>
      <c r="BG117" s="6"/>
      <c r="BH117" s="6"/>
      <c r="BI117" s="6"/>
      <c r="BJ117" s="6"/>
      <c r="BK117" s="6"/>
      <c r="BL117" s="8">
        <v>1.8</v>
      </c>
      <c r="BM117" s="6"/>
      <c r="BN117" s="6"/>
      <c r="BO117" s="6"/>
      <c r="BP117" s="6"/>
      <c r="BQ117" s="6"/>
      <c r="BR117" s="6"/>
      <c r="BS117" s="6"/>
      <c r="BT117" s="6"/>
      <c r="BU117" s="6"/>
      <c r="BV117" s="6"/>
      <c r="BW117" s="6"/>
      <c r="BX117" s="6"/>
      <c r="BY117" s="6"/>
      <c r="BZ117" s="6"/>
      <c r="CA117" s="6"/>
      <c r="CB117" s="6"/>
      <c r="CC117" s="6"/>
      <c r="CD117" s="6"/>
      <c r="CE117" s="6"/>
      <c r="CF117" s="6"/>
      <c r="CG117" s="9">
        <v>1.8</v>
      </c>
    </row>
    <row r="118" spans="1:85" x14ac:dyDescent="0.3">
      <c r="A118" s="3" t="str">
        <f t="shared" si="3"/>
        <v>ADDResearch InfrastructureAtacama Large Millimeter Array (ALMA)Total</v>
      </c>
      <c r="B118" s="6" t="s">
        <v>81</v>
      </c>
      <c r="C118" s="6" t="s">
        <v>179</v>
      </c>
      <c r="D118" s="6" t="s">
        <v>190</v>
      </c>
      <c r="E118" s="6" t="s">
        <v>24</v>
      </c>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8">
        <v>50.63</v>
      </c>
      <c r="AJ118" s="6"/>
      <c r="AK118" s="6"/>
      <c r="AL118" s="6"/>
      <c r="AM118" s="6"/>
      <c r="AN118" s="6"/>
      <c r="AO118" s="6"/>
      <c r="AP118" s="8">
        <v>50.63</v>
      </c>
      <c r="AQ118" s="6"/>
      <c r="AR118" s="6"/>
      <c r="AS118" s="6"/>
      <c r="AT118" s="6"/>
      <c r="AU118" s="6"/>
      <c r="AV118" s="6"/>
      <c r="AW118" s="6"/>
      <c r="AX118" s="6"/>
      <c r="AY118" s="6"/>
      <c r="AZ118" s="6"/>
      <c r="BA118" s="6"/>
      <c r="BB118" s="6"/>
      <c r="BC118" s="6"/>
      <c r="BD118" s="6"/>
      <c r="BE118" s="6"/>
      <c r="BF118" s="6"/>
      <c r="BG118" s="6"/>
      <c r="BH118" s="6"/>
      <c r="BI118" s="6"/>
      <c r="BJ118" s="6"/>
      <c r="BK118" s="6"/>
      <c r="BL118" s="8">
        <v>50.63</v>
      </c>
      <c r="BM118" s="6"/>
      <c r="BN118" s="6"/>
      <c r="BO118" s="6"/>
      <c r="BP118" s="6"/>
      <c r="BQ118" s="6"/>
      <c r="BR118" s="6"/>
      <c r="BS118" s="6"/>
      <c r="BT118" s="6"/>
      <c r="BU118" s="6"/>
      <c r="BV118" s="6"/>
      <c r="BW118" s="6"/>
      <c r="BX118" s="6"/>
      <c r="BY118" s="6"/>
      <c r="BZ118" s="6"/>
      <c r="CA118" s="6"/>
      <c r="CB118" s="6"/>
      <c r="CC118" s="6"/>
      <c r="CD118" s="6"/>
      <c r="CE118" s="6"/>
      <c r="CF118" s="6"/>
      <c r="CG118" s="9">
        <v>50.63</v>
      </c>
    </row>
    <row r="119" spans="1:85" x14ac:dyDescent="0.3">
      <c r="A119" s="3" t="str">
        <f t="shared" si="3"/>
        <v>ADDResearch InfrastructureCenter for High Energy X-ray Science (CHEXS)Total</v>
      </c>
      <c r="B119" s="6" t="s">
        <v>81</v>
      </c>
      <c r="C119" s="6" t="s">
        <v>179</v>
      </c>
      <c r="D119" s="6" t="s">
        <v>191</v>
      </c>
      <c r="E119" s="6" t="s">
        <v>24</v>
      </c>
      <c r="F119" s="6"/>
      <c r="G119" s="6"/>
      <c r="H119" s="6"/>
      <c r="I119" s="6"/>
      <c r="J119" s="8">
        <v>1</v>
      </c>
      <c r="K119" s="6"/>
      <c r="L119" s="8">
        <v>1</v>
      </c>
      <c r="M119" s="6"/>
      <c r="N119" s="6"/>
      <c r="O119" s="6"/>
      <c r="P119" s="6"/>
      <c r="Q119" s="6"/>
      <c r="R119" s="6"/>
      <c r="S119" s="6"/>
      <c r="T119" s="6"/>
      <c r="U119" s="8">
        <v>0.8</v>
      </c>
      <c r="V119" s="8">
        <v>0.1</v>
      </c>
      <c r="W119" s="6"/>
      <c r="X119" s="8">
        <v>0.1</v>
      </c>
      <c r="Y119" s="6"/>
      <c r="Z119" s="6"/>
      <c r="AA119" s="8">
        <v>1</v>
      </c>
      <c r="AB119" s="6"/>
      <c r="AC119" s="6"/>
      <c r="AD119" s="6"/>
      <c r="AE119" s="6"/>
      <c r="AF119" s="6"/>
      <c r="AG119" s="6"/>
      <c r="AH119" s="6"/>
      <c r="AI119" s="6"/>
      <c r="AJ119" s="6"/>
      <c r="AK119" s="8">
        <v>8</v>
      </c>
      <c r="AL119" s="6"/>
      <c r="AM119" s="8">
        <v>1</v>
      </c>
      <c r="AN119" s="6"/>
      <c r="AO119" s="6"/>
      <c r="AP119" s="8">
        <v>9</v>
      </c>
      <c r="AQ119" s="6"/>
      <c r="AR119" s="6"/>
      <c r="AS119" s="6"/>
      <c r="AT119" s="6"/>
      <c r="AU119" s="6"/>
      <c r="AV119" s="6"/>
      <c r="AW119" s="6"/>
      <c r="AX119" s="6"/>
      <c r="AY119" s="6"/>
      <c r="AZ119" s="6"/>
      <c r="BA119" s="6"/>
      <c r="BB119" s="6"/>
      <c r="BC119" s="6"/>
      <c r="BD119" s="6"/>
      <c r="BE119" s="6"/>
      <c r="BF119" s="6"/>
      <c r="BG119" s="6"/>
      <c r="BH119" s="6"/>
      <c r="BI119" s="6"/>
      <c r="BJ119" s="6"/>
      <c r="BK119" s="6"/>
      <c r="BL119" s="8">
        <v>11</v>
      </c>
      <c r="BM119" s="6"/>
      <c r="BN119" s="6"/>
      <c r="BO119" s="6"/>
      <c r="BP119" s="6"/>
      <c r="BQ119" s="6"/>
      <c r="BR119" s="6"/>
      <c r="BS119" s="6"/>
      <c r="BT119" s="6"/>
      <c r="BU119" s="6"/>
      <c r="BV119" s="6"/>
      <c r="BW119" s="6"/>
      <c r="BX119" s="6"/>
      <c r="BY119" s="6"/>
      <c r="BZ119" s="6"/>
      <c r="CA119" s="6"/>
      <c r="CB119" s="6"/>
      <c r="CC119" s="6"/>
      <c r="CD119" s="6"/>
      <c r="CE119" s="6"/>
      <c r="CF119" s="6"/>
      <c r="CG119" s="9">
        <v>11</v>
      </c>
    </row>
    <row r="120" spans="1:85" x14ac:dyDescent="0.3">
      <c r="A120" s="3" t="str">
        <f t="shared" si="3"/>
        <v>ADDResearch InfrastructureDaniel K. Inouye Solar Telescope (DKIST)Total</v>
      </c>
      <c r="B120" s="6" t="s">
        <v>81</v>
      </c>
      <c r="C120" s="6" t="s">
        <v>179</v>
      </c>
      <c r="D120" s="6" t="s">
        <v>192</v>
      </c>
      <c r="E120" s="6" t="s">
        <v>24</v>
      </c>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8">
        <v>19.579999999999998</v>
      </c>
      <c r="AJ120" s="6"/>
      <c r="AK120" s="6"/>
      <c r="AL120" s="6"/>
      <c r="AM120" s="6"/>
      <c r="AN120" s="6"/>
      <c r="AO120" s="6"/>
      <c r="AP120" s="8">
        <v>19.579999999999998</v>
      </c>
      <c r="AQ120" s="6"/>
      <c r="AR120" s="6"/>
      <c r="AS120" s="6"/>
      <c r="AT120" s="6"/>
      <c r="AU120" s="6"/>
      <c r="AV120" s="6"/>
      <c r="AW120" s="6"/>
      <c r="AX120" s="6"/>
      <c r="AY120" s="6"/>
      <c r="AZ120" s="6"/>
      <c r="BA120" s="6"/>
      <c r="BB120" s="6"/>
      <c r="BC120" s="6"/>
      <c r="BD120" s="6"/>
      <c r="BE120" s="6"/>
      <c r="BF120" s="6"/>
      <c r="BG120" s="6"/>
      <c r="BH120" s="6"/>
      <c r="BI120" s="6"/>
      <c r="BJ120" s="6"/>
      <c r="BK120" s="6"/>
      <c r="BL120" s="8">
        <v>19.579999999999998</v>
      </c>
      <c r="BM120" s="6"/>
      <c r="BN120" s="6"/>
      <c r="BO120" s="6"/>
      <c r="BP120" s="6"/>
      <c r="BQ120" s="6"/>
      <c r="BR120" s="6"/>
      <c r="BS120" s="6"/>
      <c r="BT120" s="6"/>
      <c r="BU120" s="6"/>
      <c r="BV120" s="6"/>
      <c r="BW120" s="6"/>
      <c r="BX120" s="6"/>
      <c r="BY120" s="6"/>
      <c r="BZ120" s="6"/>
      <c r="CA120" s="6"/>
      <c r="CB120" s="6"/>
      <c r="CC120" s="6"/>
      <c r="CD120" s="6"/>
      <c r="CE120" s="6"/>
      <c r="CF120" s="6"/>
      <c r="CG120" s="9">
        <v>19.579999999999998</v>
      </c>
    </row>
    <row r="121" spans="1:85" x14ac:dyDescent="0.3">
      <c r="A121" s="3" t="str">
        <f t="shared" si="3"/>
        <v>ADDResearch InfrastructureGemini ObservatoryTotal</v>
      </c>
      <c r="B121" s="6" t="s">
        <v>81</v>
      </c>
      <c r="C121" s="6" t="s">
        <v>179</v>
      </c>
      <c r="D121" s="6" t="s">
        <v>193</v>
      </c>
      <c r="E121" s="6" t="s">
        <v>24</v>
      </c>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8">
        <v>23.33</v>
      </c>
      <c r="AJ121" s="6"/>
      <c r="AK121" s="6"/>
      <c r="AL121" s="6"/>
      <c r="AM121" s="6"/>
      <c r="AN121" s="6"/>
      <c r="AO121" s="6"/>
      <c r="AP121" s="8">
        <v>23.33</v>
      </c>
      <c r="AQ121" s="6"/>
      <c r="AR121" s="6"/>
      <c r="AS121" s="6"/>
      <c r="AT121" s="6"/>
      <c r="AU121" s="6"/>
      <c r="AV121" s="6"/>
      <c r="AW121" s="6"/>
      <c r="AX121" s="6"/>
      <c r="AY121" s="6"/>
      <c r="AZ121" s="6"/>
      <c r="BA121" s="6"/>
      <c r="BB121" s="6"/>
      <c r="BC121" s="6"/>
      <c r="BD121" s="6"/>
      <c r="BE121" s="6"/>
      <c r="BF121" s="6"/>
      <c r="BG121" s="6"/>
      <c r="BH121" s="6"/>
      <c r="BI121" s="6"/>
      <c r="BJ121" s="6"/>
      <c r="BK121" s="6"/>
      <c r="BL121" s="8">
        <v>23.33</v>
      </c>
      <c r="BM121" s="6"/>
      <c r="BN121" s="6"/>
      <c r="BO121" s="6"/>
      <c r="BP121" s="6"/>
      <c r="BQ121" s="6"/>
      <c r="BR121" s="6"/>
      <c r="BS121" s="6"/>
      <c r="BT121" s="6"/>
      <c r="BU121" s="6"/>
      <c r="BV121" s="6"/>
      <c r="BW121" s="6"/>
      <c r="BX121" s="6"/>
      <c r="BY121" s="6"/>
      <c r="BZ121" s="6"/>
      <c r="CA121" s="6"/>
      <c r="CB121" s="6"/>
      <c r="CC121" s="6"/>
      <c r="CD121" s="6"/>
      <c r="CE121" s="6"/>
      <c r="CF121" s="6"/>
      <c r="CG121" s="9">
        <v>23.33</v>
      </c>
    </row>
    <row r="122" spans="1:85" x14ac:dyDescent="0.3">
      <c r="A122" s="3" t="str">
        <f t="shared" si="3"/>
        <v>ADDResearch InfrastructureGeodetic Facility for the Advancement of GEoscience (GAGE)Total</v>
      </c>
      <c r="B122" s="6" t="s">
        <v>81</v>
      </c>
      <c r="C122" s="6" t="s">
        <v>179</v>
      </c>
      <c r="D122" s="6" t="s">
        <v>194</v>
      </c>
      <c r="E122" s="6" t="s">
        <v>24</v>
      </c>
      <c r="F122" s="6"/>
      <c r="G122" s="6"/>
      <c r="H122" s="6"/>
      <c r="I122" s="6"/>
      <c r="J122" s="6"/>
      <c r="K122" s="6"/>
      <c r="L122" s="6"/>
      <c r="M122" s="6"/>
      <c r="N122" s="6"/>
      <c r="O122" s="6"/>
      <c r="P122" s="6"/>
      <c r="Q122" s="6"/>
      <c r="R122" s="6"/>
      <c r="S122" s="6"/>
      <c r="T122" s="6"/>
      <c r="U122" s="6"/>
      <c r="V122" s="6"/>
      <c r="W122" s="6"/>
      <c r="X122" s="6"/>
      <c r="Y122" s="6"/>
      <c r="Z122" s="6"/>
      <c r="AA122" s="6"/>
      <c r="AB122" s="6"/>
      <c r="AC122" s="8">
        <v>12.75</v>
      </c>
      <c r="AD122" s="6"/>
      <c r="AE122" s="8">
        <v>1.29</v>
      </c>
      <c r="AF122" s="6"/>
      <c r="AG122" s="6"/>
      <c r="AH122" s="8">
        <v>14.04</v>
      </c>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8">
        <v>14.04</v>
      </c>
      <c r="BM122" s="6"/>
      <c r="BN122" s="6"/>
      <c r="BO122" s="6"/>
      <c r="BP122" s="6"/>
      <c r="BQ122" s="6"/>
      <c r="BR122" s="6"/>
      <c r="BS122" s="6"/>
      <c r="BT122" s="6"/>
      <c r="BU122" s="6"/>
      <c r="BV122" s="6"/>
      <c r="BW122" s="6"/>
      <c r="BX122" s="6"/>
      <c r="BY122" s="6"/>
      <c r="BZ122" s="6"/>
      <c r="CA122" s="6"/>
      <c r="CB122" s="6"/>
      <c r="CC122" s="6"/>
      <c r="CD122" s="6"/>
      <c r="CE122" s="6"/>
      <c r="CF122" s="6"/>
      <c r="CG122" s="9">
        <v>14.04</v>
      </c>
    </row>
    <row r="123" spans="1:85" x14ac:dyDescent="0.3">
      <c r="A123" s="3" t="str">
        <f t="shared" si="3"/>
        <v>ADDResearch InfrastructureGreen Bank Observatory (GBO)Total</v>
      </c>
      <c r="B123" s="6" t="s">
        <v>81</v>
      </c>
      <c r="C123" s="6" t="s">
        <v>179</v>
      </c>
      <c r="D123" s="6" t="s">
        <v>195</v>
      </c>
      <c r="E123" s="6" t="s">
        <v>24</v>
      </c>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8">
        <v>9.1199999999999992</v>
      </c>
      <c r="AJ123" s="6"/>
      <c r="AK123" s="6"/>
      <c r="AL123" s="6"/>
      <c r="AM123" s="6"/>
      <c r="AN123" s="6"/>
      <c r="AO123" s="6"/>
      <c r="AP123" s="8">
        <v>9.1199999999999992</v>
      </c>
      <c r="AQ123" s="6"/>
      <c r="AR123" s="6"/>
      <c r="AS123" s="6"/>
      <c r="AT123" s="6"/>
      <c r="AU123" s="6"/>
      <c r="AV123" s="6"/>
      <c r="AW123" s="6"/>
      <c r="AX123" s="6"/>
      <c r="AY123" s="6"/>
      <c r="AZ123" s="6"/>
      <c r="BA123" s="6"/>
      <c r="BB123" s="6"/>
      <c r="BC123" s="6"/>
      <c r="BD123" s="6"/>
      <c r="BE123" s="6"/>
      <c r="BF123" s="6"/>
      <c r="BG123" s="6"/>
      <c r="BH123" s="6"/>
      <c r="BI123" s="6"/>
      <c r="BJ123" s="6"/>
      <c r="BK123" s="6"/>
      <c r="BL123" s="8">
        <v>9.1199999999999992</v>
      </c>
      <c r="BM123" s="6"/>
      <c r="BN123" s="6"/>
      <c r="BO123" s="6"/>
      <c r="BP123" s="6"/>
      <c r="BQ123" s="6"/>
      <c r="BR123" s="6"/>
      <c r="BS123" s="6"/>
      <c r="BT123" s="6"/>
      <c r="BU123" s="6"/>
      <c r="BV123" s="6"/>
      <c r="BW123" s="6"/>
      <c r="BX123" s="6"/>
      <c r="BY123" s="6"/>
      <c r="BZ123" s="6"/>
      <c r="CA123" s="6"/>
      <c r="CB123" s="6"/>
      <c r="CC123" s="6"/>
      <c r="CD123" s="6"/>
      <c r="CE123" s="6"/>
      <c r="CF123" s="6"/>
      <c r="CG123" s="9">
        <v>9.1199999999999992</v>
      </c>
    </row>
    <row r="124" spans="1:85" x14ac:dyDescent="0.3">
      <c r="A124" s="3" t="str">
        <f t="shared" si="3"/>
        <v>ADDResearch InfrastructureIceCube Neutrino Observatory (IceCube)Total</v>
      </c>
      <c r="B124" s="6" t="s">
        <v>81</v>
      </c>
      <c r="C124" s="6" t="s">
        <v>179</v>
      </c>
      <c r="D124" s="6" t="s">
        <v>196</v>
      </c>
      <c r="E124" s="6" t="s">
        <v>24</v>
      </c>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8">
        <v>3.65</v>
      </c>
      <c r="AF124" s="6"/>
      <c r="AG124" s="6"/>
      <c r="AH124" s="8">
        <v>3.65</v>
      </c>
      <c r="AI124" s="6"/>
      <c r="AJ124" s="6"/>
      <c r="AK124" s="6"/>
      <c r="AL124" s="6"/>
      <c r="AM124" s="6"/>
      <c r="AN124" s="8">
        <v>3.6</v>
      </c>
      <c r="AO124" s="6"/>
      <c r="AP124" s="8">
        <v>3.6</v>
      </c>
      <c r="AQ124" s="6"/>
      <c r="AR124" s="6"/>
      <c r="AS124" s="6"/>
      <c r="AT124" s="6"/>
      <c r="AU124" s="6"/>
      <c r="AV124" s="6"/>
      <c r="AW124" s="6"/>
      <c r="AX124" s="6"/>
      <c r="AY124" s="6"/>
      <c r="AZ124" s="6"/>
      <c r="BA124" s="6"/>
      <c r="BB124" s="6"/>
      <c r="BC124" s="6"/>
      <c r="BD124" s="6"/>
      <c r="BE124" s="6"/>
      <c r="BF124" s="6"/>
      <c r="BG124" s="6"/>
      <c r="BH124" s="6"/>
      <c r="BI124" s="6"/>
      <c r="BJ124" s="6"/>
      <c r="BK124" s="6"/>
      <c r="BL124" s="8">
        <v>7.25</v>
      </c>
      <c r="BM124" s="6"/>
      <c r="BN124" s="6"/>
      <c r="BO124" s="6"/>
      <c r="BP124" s="6"/>
      <c r="BQ124" s="6"/>
      <c r="BR124" s="6"/>
      <c r="BS124" s="6"/>
      <c r="BT124" s="6"/>
      <c r="BU124" s="6"/>
      <c r="BV124" s="6"/>
      <c r="BW124" s="6"/>
      <c r="BX124" s="6"/>
      <c r="BY124" s="6"/>
      <c r="BZ124" s="6"/>
      <c r="CA124" s="6"/>
      <c r="CB124" s="6"/>
      <c r="CC124" s="6"/>
      <c r="CD124" s="6"/>
      <c r="CE124" s="6"/>
      <c r="CF124" s="6"/>
      <c r="CG124" s="9">
        <v>7.25</v>
      </c>
    </row>
    <row r="125" spans="1:85" x14ac:dyDescent="0.3">
      <c r="A125" s="3" t="str">
        <f t="shared" si="3"/>
        <v>ADDResearch InfrastructureInternational Ocean Discovery Program (IODP)Total</v>
      </c>
      <c r="B125" s="6" t="s">
        <v>81</v>
      </c>
      <c r="C125" s="6" t="s">
        <v>179</v>
      </c>
      <c r="D125" s="6" t="s">
        <v>197</v>
      </c>
      <c r="E125" s="6" t="s">
        <v>24</v>
      </c>
      <c r="F125" s="6"/>
      <c r="G125" s="6"/>
      <c r="H125" s="6"/>
      <c r="I125" s="6"/>
      <c r="J125" s="6"/>
      <c r="K125" s="6"/>
      <c r="L125" s="6"/>
      <c r="M125" s="6"/>
      <c r="N125" s="6"/>
      <c r="O125" s="6"/>
      <c r="P125" s="6"/>
      <c r="Q125" s="6"/>
      <c r="R125" s="6"/>
      <c r="S125" s="6"/>
      <c r="T125" s="6"/>
      <c r="U125" s="6"/>
      <c r="V125" s="6"/>
      <c r="W125" s="6"/>
      <c r="X125" s="6"/>
      <c r="Y125" s="6"/>
      <c r="Z125" s="6"/>
      <c r="AA125" s="6"/>
      <c r="AB125" s="6"/>
      <c r="AC125" s="6"/>
      <c r="AD125" s="8">
        <v>51.7</v>
      </c>
      <c r="AE125" s="6"/>
      <c r="AF125" s="6"/>
      <c r="AG125" s="6"/>
      <c r="AH125" s="8">
        <v>51.7</v>
      </c>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8">
        <v>51.7</v>
      </c>
      <c r="BM125" s="6"/>
      <c r="BN125" s="6"/>
      <c r="BO125" s="6"/>
      <c r="BP125" s="6"/>
      <c r="BQ125" s="6"/>
      <c r="BR125" s="6"/>
      <c r="BS125" s="6"/>
      <c r="BT125" s="6"/>
      <c r="BU125" s="6"/>
      <c r="BV125" s="6"/>
      <c r="BW125" s="6"/>
      <c r="BX125" s="6"/>
      <c r="BY125" s="6"/>
      <c r="BZ125" s="6"/>
      <c r="CA125" s="6"/>
      <c r="CB125" s="6"/>
      <c r="CC125" s="6"/>
      <c r="CD125" s="6"/>
      <c r="CE125" s="6"/>
      <c r="CF125" s="6"/>
      <c r="CG125" s="9">
        <v>51.7</v>
      </c>
    </row>
    <row r="126" spans="1:85" x14ac:dyDescent="0.3">
      <c r="A126" s="3" t="str">
        <f t="shared" si="3"/>
        <v>ADDResearch InfrastructureLarge Hadron Collider (LHC)Total</v>
      </c>
      <c r="B126" s="6" t="s">
        <v>81</v>
      </c>
      <c r="C126" s="6" t="s">
        <v>179</v>
      </c>
      <c r="D126" s="6" t="s">
        <v>198</v>
      </c>
      <c r="E126" s="6" t="s">
        <v>24</v>
      </c>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8">
        <v>20.5</v>
      </c>
      <c r="AO126" s="6"/>
      <c r="AP126" s="8">
        <v>20.5</v>
      </c>
      <c r="AQ126" s="6"/>
      <c r="AR126" s="6"/>
      <c r="AS126" s="6"/>
      <c r="AT126" s="6"/>
      <c r="AU126" s="6"/>
      <c r="AV126" s="6"/>
      <c r="AW126" s="6"/>
      <c r="AX126" s="6"/>
      <c r="AY126" s="6"/>
      <c r="AZ126" s="6"/>
      <c r="BA126" s="6"/>
      <c r="BB126" s="6"/>
      <c r="BC126" s="6"/>
      <c r="BD126" s="6"/>
      <c r="BE126" s="6"/>
      <c r="BF126" s="6"/>
      <c r="BG126" s="6"/>
      <c r="BH126" s="6"/>
      <c r="BI126" s="6"/>
      <c r="BJ126" s="6"/>
      <c r="BK126" s="6"/>
      <c r="BL126" s="8">
        <v>20.5</v>
      </c>
      <c r="BM126" s="6"/>
      <c r="BN126" s="6"/>
      <c r="BO126" s="6"/>
      <c r="BP126" s="6"/>
      <c r="BQ126" s="6"/>
      <c r="BR126" s="6"/>
      <c r="BS126" s="6"/>
      <c r="BT126" s="8">
        <v>36</v>
      </c>
      <c r="BU126" s="8">
        <v>36</v>
      </c>
      <c r="BV126" s="8">
        <v>36</v>
      </c>
      <c r="BW126" s="6"/>
      <c r="BX126" s="6"/>
      <c r="BY126" s="6"/>
      <c r="BZ126" s="6"/>
      <c r="CA126" s="6"/>
      <c r="CB126" s="6"/>
      <c r="CC126" s="6"/>
      <c r="CD126" s="6"/>
      <c r="CE126" s="6"/>
      <c r="CF126" s="6"/>
      <c r="CG126" s="9">
        <v>56.5</v>
      </c>
    </row>
    <row r="127" spans="1:85" x14ac:dyDescent="0.3">
      <c r="A127" s="3" t="str">
        <f t="shared" si="3"/>
        <v>ADDResearch InfrastructureLaser-Interferometer Gravitational-Wave Observatory (LIGO)Total</v>
      </c>
      <c r="B127" s="6" t="s">
        <v>81</v>
      </c>
      <c r="C127" s="6" t="s">
        <v>179</v>
      </c>
      <c r="D127" s="6" t="s">
        <v>199</v>
      </c>
      <c r="E127" s="6" t="s">
        <v>24</v>
      </c>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8">
        <v>45</v>
      </c>
      <c r="AO127" s="6"/>
      <c r="AP127" s="8">
        <v>45</v>
      </c>
      <c r="AQ127" s="6"/>
      <c r="AR127" s="6"/>
      <c r="AS127" s="6"/>
      <c r="AT127" s="6"/>
      <c r="AU127" s="6"/>
      <c r="AV127" s="6"/>
      <c r="AW127" s="6"/>
      <c r="AX127" s="6"/>
      <c r="AY127" s="6"/>
      <c r="AZ127" s="6"/>
      <c r="BA127" s="6"/>
      <c r="BB127" s="6"/>
      <c r="BC127" s="6"/>
      <c r="BD127" s="6"/>
      <c r="BE127" s="6"/>
      <c r="BF127" s="6"/>
      <c r="BG127" s="6"/>
      <c r="BH127" s="6"/>
      <c r="BI127" s="6"/>
      <c r="BJ127" s="6"/>
      <c r="BK127" s="6"/>
      <c r="BL127" s="8">
        <v>45</v>
      </c>
      <c r="BM127" s="6"/>
      <c r="BN127" s="6"/>
      <c r="BO127" s="6"/>
      <c r="BP127" s="6"/>
      <c r="BQ127" s="6"/>
      <c r="BR127" s="6"/>
      <c r="BS127" s="6"/>
      <c r="BT127" s="6"/>
      <c r="BU127" s="6"/>
      <c r="BV127" s="6"/>
      <c r="BW127" s="6"/>
      <c r="BX127" s="6"/>
      <c r="BY127" s="6"/>
      <c r="BZ127" s="6"/>
      <c r="CA127" s="6"/>
      <c r="CB127" s="6"/>
      <c r="CC127" s="6"/>
      <c r="CD127" s="6"/>
      <c r="CE127" s="6"/>
      <c r="CF127" s="6"/>
      <c r="CG127" s="9">
        <v>45</v>
      </c>
    </row>
    <row r="128" spans="1:85" x14ac:dyDescent="0.3">
      <c r="A128" s="3" t="str">
        <f t="shared" si="3"/>
        <v>ADDResearch InfrastructureMajor Research Instrumentation (MRI)Total</v>
      </c>
      <c r="B128" s="6" t="s">
        <v>81</v>
      </c>
      <c r="C128" s="6" t="s">
        <v>179</v>
      </c>
      <c r="D128" s="6" t="s">
        <v>200</v>
      </c>
      <c r="E128" s="6" t="s">
        <v>24</v>
      </c>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8">
        <v>78.75</v>
      </c>
      <c r="BG128" s="8">
        <v>78.75</v>
      </c>
      <c r="BH128" s="6"/>
      <c r="BI128" s="6"/>
      <c r="BJ128" s="6"/>
      <c r="BK128" s="6"/>
      <c r="BL128" s="8">
        <v>78.75</v>
      </c>
      <c r="BM128" s="6"/>
      <c r="BN128" s="6"/>
      <c r="BO128" s="6"/>
      <c r="BP128" s="6"/>
      <c r="BQ128" s="6"/>
      <c r="BR128" s="6"/>
      <c r="BS128" s="6"/>
      <c r="BT128" s="6"/>
      <c r="BU128" s="6"/>
      <c r="BV128" s="6"/>
      <c r="BW128" s="6"/>
      <c r="BX128" s="6"/>
      <c r="BY128" s="6"/>
      <c r="BZ128" s="6"/>
      <c r="CA128" s="6"/>
      <c r="CB128" s="6"/>
      <c r="CC128" s="6"/>
      <c r="CD128" s="6"/>
      <c r="CE128" s="6"/>
      <c r="CF128" s="6"/>
      <c r="CG128" s="9">
        <v>78.75</v>
      </c>
    </row>
    <row r="129" spans="1:85" x14ac:dyDescent="0.3">
      <c r="A129" s="3" t="str">
        <f t="shared" si="3"/>
        <v>ADDResearch InfrastructureMRIDP: Mid-scale RI Directorate ProgramsTotal</v>
      </c>
      <c r="B129" s="6" t="s">
        <v>81</v>
      </c>
      <c r="C129" s="6" t="s">
        <v>179</v>
      </c>
      <c r="D129" s="6" t="s">
        <v>201</v>
      </c>
      <c r="E129" s="6" t="s">
        <v>24</v>
      </c>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8">
        <v>0</v>
      </c>
      <c r="AG129" s="6"/>
      <c r="AH129" s="8">
        <v>0</v>
      </c>
      <c r="AI129" s="8">
        <v>17.7</v>
      </c>
      <c r="AJ129" s="8">
        <v>0.4</v>
      </c>
      <c r="AK129" s="8">
        <v>15.14</v>
      </c>
      <c r="AL129" s="6"/>
      <c r="AM129" s="6"/>
      <c r="AN129" s="8">
        <v>16.100000000000001</v>
      </c>
      <c r="AO129" s="6"/>
      <c r="AP129" s="8">
        <v>49.34</v>
      </c>
      <c r="AQ129" s="6"/>
      <c r="AR129" s="6"/>
      <c r="AS129" s="6"/>
      <c r="AT129" s="6"/>
      <c r="AU129" s="6"/>
      <c r="AV129" s="6"/>
      <c r="AW129" s="6"/>
      <c r="AX129" s="6"/>
      <c r="AY129" s="6"/>
      <c r="AZ129" s="6"/>
      <c r="BA129" s="6"/>
      <c r="BB129" s="6"/>
      <c r="BC129" s="6"/>
      <c r="BD129" s="6"/>
      <c r="BE129" s="6"/>
      <c r="BF129" s="6"/>
      <c r="BG129" s="6"/>
      <c r="BH129" s="6"/>
      <c r="BI129" s="6"/>
      <c r="BJ129" s="6"/>
      <c r="BK129" s="6"/>
      <c r="BL129" s="8">
        <v>49.34</v>
      </c>
      <c r="BM129" s="6"/>
      <c r="BN129" s="6"/>
      <c r="BO129" s="6"/>
      <c r="BP129" s="6"/>
      <c r="BQ129" s="6"/>
      <c r="BR129" s="6"/>
      <c r="BS129" s="6"/>
      <c r="BT129" s="6"/>
      <c r="BU129" s="6"/>
      <c r="BV129" s="6"/>
      <c r="BW129" s="6"/>
      <c r="BX129" s="6"/>
      <c r="BY129" s="6"/>
      <c r="BZ129" s="6"/>
      <c r="CA129" s="6"/>
      <c r="CB129" s="6"/>
      <c r="CC129" s="6"/>
      <c r="CD129" s="6"/>
      <c r="CE129" s="6"/>
      <c r="CF129" s="6"/>
      <c r="CG129" s="9">
        <v>49.34</v>
      </c>
    </row>
    <row r="130" spans="1:85" x14ac:dyDescent="0.3">
      <c r="A130" s="3" t="str">
        <f t="shared" si="3"/>
        <v>ADDResearch InfrastructureMSRIAP: Mid-scale Research Infrastructure Agency ProgramTotal</v>
      </c>
      <c r="B130" s="6" t="s">
        <v>81</v>
      </c>
      <c r="C130" s="6" t="s">
        <v>179</v>
      </c>
      <c r="D130" s="6" t="s">
        <v>202</v>
      </c>
      <c r="E130" s="6" t="s">
        <v>24</v>
      </c>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8">
        <v>40</v>
      </c>
      <c r="BG130" s="8">
        <v>40</v>
      </c>
      <c r="BH130" s="6"/>
      <c r="BI130" s="6"/>
      <c r="BJ130" s="6"/>
      <c r="BK130" s="6"/>
      <c r="BL130" s="8">
        <v>40</v>
      </c>
      <c r="BM130" s="6"/>
      <c r="BN130" s="6"/>
      <c r="BO130" s="6"/>
      <c r="BP130" s="6"/>
      <c r="BQ130" s="6"/>
      <c r="BR130" s="6"/>
      <c r="BS130" s="6"/>
      <c r="BT130" s="8">
        <v>67.77</v>
      </c>
      <c r="BU130" s="8">
        <v>67.77</v>
      </c>
      <c r="BV130" s="8">
        <v>67.77</v>
      </c>
      <c r="BW130" s="6"/>
      <c r="BX130" s="6"/>
      <c r="BY130" s="6"/>
      <c r="BZ130" s="6"/>
      <c r="CA130" s="6"/>
      <c r="CB130" s="6"/>
      <c r="CC130" s="6"/>
      <c r="CD130" s="6"/>
      <c r="CE130" s="6"/>
      <c r="CF130" s="6"/>
      <c r="CG130" s="9">
        <v>107.77</v>
      </c>
    </row>
    <row r="131" spans="1:85" x14ac:dyDescent="0.3">
      <c r="A131" s="3" t="str">
        <f t="shared" si="3"/>
        <v>ADDResearch InfrastructureNational Center for Atmospheric Research (NCAR)Total</v>
      </c>
      <c r="B131" s="6" t="s">
        <v>81</v>
      </c>
      <c r="C131" s="6" t="s">
        <v>179</v>
      </c>
      <c r="D131" s="6" t="s">
        <v>203</v>
      </c>
      <c r="E131" s="6" t="s">
        <v>24</v>
      </c>
      <c r="F131" s="6"/>
      <c r="G131" s="6"/>
      <c r="H131" s="6"/>
      <c r="I131" s="6"/>
      <c r="J131" s="6"/>
      <c r="K131" s="6"/>
      <c r="L131" s="6"/>
      <c r="M131" s="6"/>
      <c r="N131" s="6"/>
      <c r="O131" s="6"/>
      <c r="P131" s="6"/>
      <c r="Q131" s="6"/>
      <c r="R131" s="6"/>
      <c r="S131" s="6"/>
      <c r="T131" s="6"/>
      <c r="U131" s="6"/>
      <c r="V131" s="6"/>
      <c r="W131" s="6"/>
      <c r="X131" s="6"/>
      <c r="Y131" s="6"/>
      <c r="Z131" s="6"/>
      <c r="AA131" s="6"/>
      <c r="AB131" s="8">
        <v>103.53</v>
      </c>
      <c r="AC131" s="6"/>
      <c r="AD131" s="6"/>
      <c r="AE131" s="6"/>
      <c r="AF131" s="6"/>
      <c r="AG131" s="6"/>
      <c r="AH131" s="8">
        <v>103.53</v>
      </c>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8">
        <v>103.53</v>
      </c>
      <c r="BM131" s="6"/>
      <c r="BN131" s="6"/>
      <c r="BO131" s="6"/>
      <c r="BP131" s="6"/>
      <c r="BQ131" s="6"/>
      <c r="BR131" s="6"/>
      <c r="BS131" s="6"/>
      <c r="BT131" s="6"/>
      <c r="BU131" s="6"/>
      <c r="BV131" s="6"/>
      <c r="BW131" s="6"/>
      <c r="BX131" s="6"/>
      <c r="BY131" s="6"/>
      <c r="BZ131" s="6"/>
      <c r="CA131" s="6"/>
      <c r="CB131" s="6"/>
      <c r="CC131" s="6"/>
      <c r="CD131" s="6"/>
      <c r="CE131" s="6"/>
      <c r="CF131" s="6"/>
      <c r="CG131" s="9">
        <v>103.53</v>
      </c>
    </row>
    <row r="132" spans="1:85" x14ac:dyDescent="0.3">
      <c r="A132" s="3" t="str">
        <f t="shared" si="3"/>
        <v>ADDResearch InfrastructureNational Center for Science &amp; Engineering Statistics (NCSES)Total</v>
      </c>
      <c r="B132" s="6" t="s">
        <v>81</v>
      </c>
      <c r="C132" s="6" t="s">
        <v>179</v>
      </c>
      <c r="D132" s="6" t="s">
        <v>204</v>
      </c>
      <c r="E132" s="6" t="s">
        <v>24</v>
      </c>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8">
        <v>55.68</v>
      </c>
      <c r="AS132" s="6"/>
      <c r="AT132" s="6"/>
      <c r="AU132" s="6"/>
      <c r="AV132" s="8">
        <v>55.68</v>
      </c>
      <c r="AW132" s="6"/>
      <c r="AX132" s="6"/>
      <c r="AY132" s="6"/>
      <c r="AZ132" s="6"/>
      <c r="BA132" s="6"/>
      <c r="BB132" s="6"/>
      <c r="BC132" s="6"/>
      <c r="BD132" s="6"/>
      <c r="BE132" s="6"/>
      <c r="BF132" s="6"/>
      <c r="BG132" s="6"/>
      <c r="BH132" s="6"/>
      <c r="BI132" s="6"/>
      <c r="BJ132" s="6"/>
      <c r="BK132" s="6"/>
      <c r="BL132" s="8">
        <v>55.68</v>
      </c>
      <c r="BM132" s="6"/>
      <c r="BN132" s="6"/>
      <c r="BO132" s="6"/>
      <c r="BP132" s="6"/>
      <c r="BQ132" s="6"/>
      <c r="BR132" s="6"/>
      <c r="BS132" s="6"/>
      <c r="BT132" s="6"/>
      <c r="BU132" s="6"/>
      <c r="BV132" s="6"/>
      <c r="BW132" s="6"/>
      <c r="BX132" s="6"/>
      <c r="BY132" s="6"/>
      <c r="BZ132" s="6"/>
      <c r="CA132" s="6"/>
      <c r="CB132" s="6"/>
      <c r="CC132" s="6"/>
      <c r="CD132" s="6"/>
      <c r="CE132" s="6"/>
      <c r="CF132" s="6"/>
      <c r="CG132" s="9">
        <v>55.68</v>
      </c>
    </row>
    <row r="133" spans="1:85" x14ac:dyDescent="0.3">
      <c r="A133" s="3" t="str">
        <f t="shared" si="3"/>
        <v>ADDResearch InfrastructureNational Ecological Observatory Network (NEON)Total</v>
      </c>
      <c r="B133" s="6" t="s">
        <v>81</v>
      </c>
      <c r="C133" s="6" t="s">
        <v>179</v>
      </c>
      <c r="D133" s="6" t="s">
        <v>205</v>
      </c>
      <c r="E133" s="6" t="s">
        <v>24</v>
      </c>
      <c r="F133" s="8">
        <v>70</v>
      </c>
      <c r="G133" s="6"/>
      <c r="H133" s="6"/>
      <c r="I133" s="6"/>
      <c r="J133" s="6"/>
      <c r="K133" s="6"/>
      <c r="L133" s="8">
        <v>70</v>
      </c>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8">
        <v>70</v>
      </c>
      <c r="BM133" s="6"/>
      <c r="BN133" s="6"/>
      <c r="BO133" s="6"/>
      <c r="BP133" s="6"/>
      <c r="BQ133" s="6"/>
      <c r="BR133" s="6"/>
      <c r="BS133" s="6"/>
      <c r="BT133" s="6"/>
      <c r="BU133" s="6"/>
      <c r="BV133" s="6"/>
      <c r="BW133" s="6"/>
      <c r="BX133" s="6"/>
      <c r="BY133" s="6"/>
      <c r="BZ133" s="6"/>
      <c r="CA133" s="6"/>
      <c r="CB133" s="6"/>
      <c r="CC133" s="6"/>
      <c r="CD133" s="6"/>
      <c r="CE133" s="6"/>
      <c r="CF133" s="6"/>
      <c r="CG133" s="9">
        <v>70</v>
      </c>
    </row>
    <row r="134" spans="1:85" x14ac:dyDescent="0.3">
      <c r="A134" s="3" t="str">
        <f t="shared" si="3"/>
        <v>ADDResearch InfrastructureNational High-Magnetic Field Laboratory (NHMFL)Total</v>
      </c>
      <c r="B134" s="6" t="s">
        <v>81</v>
      </c>
      <c r="C134" s="6" t="s">
        <v>179</v>
      </c>
      <c r="D134" s="6" t="s">
        <v>206</v>
      </c>
      <c r="E134" s="6" t="s">
        <v>24</v>
      </c>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8">
        <v>1.73</v>
      </c>
      <c r="AK134" s="8">
        <v>37.18</v>
      </c>
      <c r="AL134" s="6"/>
      <c r="AM134" s="6"/>
      <c r="AN134" s="6"/>
      <c r="AO134" s="6"/>
      <c r="AP134" s="8">
        <v>38.909999999999997</v>
      </c>
      <c r="AQ134" s="6"/>
      <c r="AR134" s="6"/>
      <c r="AS134" s="6"/>
      <c r="AT134" s="6"/>
      <c r="AU134" s="6"/>
      <c r="AV134" s="6"/>
      <c r="AW134" s="6"/>
      <c r="AX134" s="6"/>
      <c r="AY134" s="6"/>
      <c r="AZ134" s="6"/>
      <c r="BA134" s="6"/>
      <c r="BB134" s="6"/>
      <c r="BC134" s="6"/>
      <c r="BD134" s="6"/>
      <c r="BE134" s="6"/>
      <c r="BF134" s="6"/>
      <c r="BG134" s="6"/>
      <c r="BH134" s="6"/>
      <c r="BI134" s="6"/>
      <c r="BJ134" s="6"/>
      <c r="BK134" s="6"/>
      <c r="BL134" s="8">
        <v>38.909999999999997</v>
      </c>
      <c r="BM134" s="6"/>
      <c r="BN134" s="6"/>
      <c r="BO134" s="6"/>
      <c r="BP134" s="6"/>
      <c r="BQ134" s="6"/>
      <c r="BR134" s="6"/>
      <c r="BS134" s="6"/>
      <c r="BT134" s="6"/>
      <c r="BU134" s="6"/>
      <c r="BV134" s="6"/>
      <c r="BW134" s="6"/>
      <c r="BX134" s="6"/>
      <c r="BY134" s="6"/>
      <c r="BZ134" s="6"/>
      <c r="CA134" s="6"/>
      <c r="CB134" s="6"/>
      <c r="CC134" s="6"/>
      <c r="CD134" s="6"/>
      <c r="CE134" s="6"/>
      <c r="CF134" s="6"/>
      <c r="CG134" s="9">
        <v>38.909999999999997</v>
      </c>
    </row>
    <row r="135" spans="1:85" x14ac:dyDescent="0.3">
      <c r="A135" s="3" t="str">
        <f t="shared" si="3"/>
        <v>ADDResearch InfrastructureNational Nanotechnology Coordinated Infrastructure (NNCI)Total</v>
      </c>
      <c r="B135" s="6" t="s">
        <v>81</v>
      </c>
      <c r="C135" s="6" t="s">
        <v>179</v>
      </c>
      <c r="D135" s="6" t="s">
        <v>207</v>
      </c>
      <c r="E135" s="6" t="s">
        <v>24</v>
      </c>
      <c r="F135" s="8">
        <v>0.35</v>
      </c>
      <c r="G135" s="6"/>
      <c r="H135" s="6"/>
      <c r="I135" s="6"/>
      <c r="J135" s="6"/>
      <c r="K135" s="6"/>
      <c r="L135" s="8">
        <v>0.35</v>
      </c>
      <c r="M135" s="8">
        <v>0.6</v>
      </c>
      <c r="N135" s="6"/>
      <c r="O135" s="6"/>
      <c r="P135" s="6"/>
      <c r="Q135" s="6"/>
      <c r="R135" s="6"/>
      <c r="S135" s="8">
        <v>0.6</v>
      </c>
      <c r="T135" s="8">
        <v>3.69</v>
      </c>
      <c r="U135" s="8">
        <v>1.9</v>
      </c>
      <c r="V135" s="8">
        <v>5.24</v>
      </c>
      <c r="W135" s="6"/>
      <c r="X135" s="6"/>
      <c r="Y135" s="6"/>
      <c r="Z135" s="6"/>
      <c r="AA135" s="8">
        <v>10.83</v>
      </c>
      <c r="AB135" s="6"/>
      <c r="AC135" s="8">
        <v>0.3</v>
      </c>
      <c r="AD135" s="6"/>
      <c r="AE135" s="6"/>
      <c r="AF135" s="8">
        <v>0</v>
      </c>
      <c r="AG135" s="6"/>
      <c r="AH135" s="8">
        <v>0.3</v>
      </c>
      <c r="AI135" s="6"/>
      <c r="AJ135" s="8">
        <v>0.3</v>
      </c>
      <c r="AK135" s="8">
        <v>2.58</v>
      </c>
      <c r="AL135" s="6"/>
      <c r="AM135" s="6"/>
      <c r="AN135" s="6"/>
      <c r="AO135" s="6"/>
      <c r="AP135" s="8">
        <v>2.88</v>
      </c>
      <c r="AQ135" s="6"/>
      <c r="AR135" s="6"/>
      <c r="AS135" s="6"/>
      <c r="AT135" s="8">
        <v>0.4</v>
      </c>
      <c r="AU135" s="6"/>
      <c r="AV135" s="8">
        <v>0.4</v>
      </c>
      <c r="AW135" s="6"/>
      <c r="AX135" s="6"/>
      <c r="AY135" s="6"/>
      <c r="AZ135" s="6"/>
      <c r="BA135" s="6"/>
      <c r="BB135" s="6"/>
      <c r="BC135" s="8">
        <v>0.1</v>
      </c>
      <c r="BD135" s="8">
        <v>0.1</v>
      </c>
      <c r="BE135" s="6"/>
      <c r="BF135" s="6"/>
      <c r="BG135" s="6"/>
      <c r="BH135" s="6"/>
      <c r="BI135" s="6"/>
      <c r="BJ135" s="6"/>
      <c r="BK135" s="6"/>
      <c r="BL135" s="8">
        <v>15.46</v>
      </c>
      <c r="BM135" s="6"/>
      <c r="BN135" s="6"/>
      <c r="BO135" s="6"/>
      <c r="BP135" s="6"/>
      <c r="BQ135" s="6"/>
      <c r="BR135" s="6"/>
      <c r="BS135" s="6"/>
      <c r="BT135" s="6"/>
      <c r="BU135" s="6"/>
      <c r="BV135" s="6"/>
      <c r="BW135" s="6"/>
      <c r="BX135" s="6"/>
      <c r="BY135" s="6"/>
      <c r="BZ135" s="6"/>
      <c r="CA135" s="6"/>
      <c r="CB135" s="6"/>
      <c r="CC135" s="6"/>
      <c r="CD135" s="6"/>
      <c r="CE135" s="6"/>
      <c r="CF135" s="6"/>
      <c r="CG135" s="9">
        <v>15.46</v>
      </c>
    </row>
    <row r="136" spans="1:85" x14ac:dyDescent="0.3">
      <c r="A136" s="3" t="str">
        <f t="shared" si="3"/>
        <v>ADDResearch InfrastructureNational Optical Astronomy Observatory (NOAO)Total</v>
      </c>
      <c r="B136" s="6" t="s">
        <v>81</v>
      </c>
      <c r="C136" s="6" t="s">
        <v>179</v>
      </c>
      <c r="D136" s="6" t="s">
        <v>208</v>
      </c>
      <c r="E136" s="6" t="s">
        <v>24</v>
      </c>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8">
        <v>0</v>
      </c>
      <c r="AJ136" s="6"/>
      <c r="AK136" s="6"/>
      <c r="AL136" s="6"/>
      <c r="AM136" s="6"/>
      <c r="AN136" s="6"/>
      <c r="AO136" s="6"/>
      <c r="AP136" s="8">
        <v>0</v>
      </c>
      <c r="AQ136" s="6"/>
      <c r="AR136" s="6"/>
      <c r="AS136" s="6"/>
      <c r="AT136" s="6"/>
      <c r="AU136" s="6"/>
      <c r="AV136" s="6"/>
      <c r="AW136" s="6"/>
      <c r="AX136" s="6"/>
      <c r="AY136" s="6"/>
      <c r="AZ136" s="6"/>
      <c r="BA136" s="6"/>
      <c r="BB136" s="6"/>
      <c r="BC136" s="6"/>
      <c r="BD136" s="6"/>
      <c r="BE136" s="6"/>
      <c r="BF136" s="6"/>
      <c r="BG136" s="6"/>
      <c r="BH136" s="6"/>
      <c r="BI136" s="6"/>
      <c r="BJ136" s="6"/>
      <c r="BK136" s="6"/>
      <c r="BL136" s="8">
        <v>0</v>
      </c>
      <c r="BM136" s="6"/>
      <c r="BN136" s="6"/>
      <c r="BO136" s="6"/>
      <c r="BP136" s="6"/>
      <c r="BQ136" s="6"/>
      <c r="BR136" s="6"/>
      <c r="BS136" s="6"/>
      <c r="BT136" s="6"/>
      <c r="BU136" s="6"/>
      <c r="BV136" s="6"/>
      <c r="BW136" s="6"/>
      <c r="BX136" s="6"/>
      <c r="BY136" s="6"/>
      <c r="BZ136" s="6"/>
      <c r="CA136" s="6"/>
      <c r="CB136" s="6"/>
      <c r="CC136" s="6"/>
      <c r="CD136" s="6"/>
      <c r="CE136" s="6"/>
      <c r="CF136" s="6"/>
      <c r="CG136" s="9">
        <v>0</v>
      </c>
    </row>
    <row r="137" spans="1:85" x14ac:dyDescent="0.3">
      <c r="A137" s="3" t="str">
        <f t="shared" ref="A137:A200" si="4">CONCATENATE(B137,C137,D137,E137)</f>
        <v>ADDResearch InfrastructureNational Radio Astronomy Observatory (NRAO)Total</v>
      </c>
      <c r="B137" s="6" t="s">
        <v>81</v>
      </c>
      <c r="C137" s="6" t="s">
        <v>179</v>
      </c>
      <c r="D137" s="6" t="s">
        <v>209</v>
      </c>
      <c r="E137" s="6" t="s">
        <v>24</v>
      </c>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8">
        <v>40.53</v>
      </c>
      <c r="AJ137" s="6"/>
      <c r="AK137" s="6"/>
      <c r="AL137" s="6"/>
      <c r="AM137" s="8">
        <v>0</v>
      </c>
      <c r="AN137" s="6"/>
      <c r="AO137" s="6"/>
      <c r="AP137" s="8">
        <v>40.53</v>
      </c>
      <c r="AQ137" s="6"/>
      <c r="AR137" s="6"/>
      <c r="AS137" s="6"/>
      <c r="AT137" s="6"/>
      <c r="AU137" s="6"/>
      <c r="AV137" s="6"/>
      <c r="AW137" s="6"/>
      <c r="AX137" s="6"/>
      <c r="AY137" s="6"/>
      <c r="AZ137" s="6"/>
      <c r="BA137" s="6"/>
      <c r="BB137" s="6"/>
      <c r="BC137" s="6"/>
      <c r="BD137" s="6"/>
      <c r="BE137" s="6"/>
      <c r="BF137" s="6"/>
      <c r="BG137" s="6"/>
      <c r="BH137" s="6"/>
      <c r="BI137" s="6"/>
      <c r="BJ137" s="6"/>
      <c r="BK137" s="6"/>
      <c r="BL137" s="8">
        <v>40.53</v>
      </c>
      <c r="BM137" s="6"/>
      <c r="BN137" s="6"/>
      <c r="BO137" s="6"/>
      <c r="BP137" s="6"/>
      <c r="BQ137" s="6"/>
      <c r="BR137" s="6"/>
      <c r="BS137" s="6"/>
      <c r="BT137" s="6"/>
      <c r="BU137" s="6"/>
      <c r="BV137" s="6"/>
      <c r="BW137" s="6"/>
      <c r="BX137" s="6"/>
      <c r="BY137" s="6"/>
      <c r="BZ137" s="6"/>
      <c r="CA137" s="6"/>
      <c r="CB137" s="6"/>
      <c r="CC137" s="6"/>
      <c r="CD137" s="6"/>
      <c r="CE137" s="6"/>
      <c r="CF137" s="6"/>
      <c r="CG137" s="9">
        <v>40.53</v>
      </c>
    </row>
    <row r="138" spans="1:85" x14ac:dyDescent="0.3">
      <c r="A138" s="3" t="str">
        <f t="shared" si="4"/>
        <v>ADDResearch InfrastructureNational Solar Observatory (NSO)Total</v>
      </c>
      <c r="B138" s="6" t="s">
        <v>81</v>
      </c>
      <c r="C138" s="6" t="s">
        <v>179</v>
      </c>
      <c r="D138" s="6" t="s">
        <v>210</v>
      </c>
      <c r="E138" s="6" t="s">
        <v>24</v>
      </c>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8">
        <v>5.88</v>
      </c>
      <c r="AJ138" s="6"/>
      <c r="AK138" s="6"/>
      <c r="AL138" s="6"/>
      <c r="AM138" s="6"/>
      <c r="AN138" s="6"/>
      <c r="AO138" s="6"/>
      <c r="AP138" s="8">
        <v>5.88</v>
      </c>
      <c r="AQ138" s="6"/>
      <c r="AR138" s="6"/>
      <c r="AS138" s="6"/>
      <c r="AT138" s="6"/>
      <c r="AU138" s="6"/>
      <c r="AV138" s="6"/>
      <c r="AW138" s="6"/>
      <c r="AX138" s="6"/>
      <c r="AY138" s="6"/>
      <c r="AZ138" s="6"/>
      <c r="BA138" s="6"/>
      <c r="BB138" s="6"/>
      <c r="BC138" s="6"/>
      <c r="BD138" s="6"/>
      <c r="BE138" s="6"/>
      <c r="BF138" s="6"/>
      <c r="BG138" s="6"/>
      <c r="BH138" s="6"/>
      <c r="BI138" s="6"/>
      <c r="BJ138" s="6"/>
      <c r="BK138" s="6"/>
      <c r="BL138" s="8">
        <v>5.88</v>
      </c>
      <c r="BM138" s="6"/>
      <c r="BN138" s="6"/>
      <c r="BO138" s="6"/>
      <c r="BP138" s="6"/>
      <c r="BQ138" s="6"/>
      <c r="BR138" s="6"/>
      <c r="BS138" s="6"/>
      <c r="BT138" s="6"/>
      <c r="BU138" s="6"/>
      <c r="BV138" s="6"/>
      <c r="BW138" s="6"/>
      <c r="BX138" s="6"/>
      <c r="BY138" s="6"/>
      <c r="BZ138" s="6"/>
      <c r="CA138" s="6"/>
      <c r="CB138" s="6"/>
      <c r="CC138" s="6"/>
      <c r="CD138" s="6"/>
      <c r="CE138" s="6"/>
      <c r="CF138" s="6"/>
      <c r="CG138" s="9">
        <v>5.88</v>
      </c>
    </row>
    <row r="139" spans="1:85" x14ac:dyDescent="0.3">
      <c r="A139" s="3" t="str">
        <f t="shared" si="4"/>
        <v>ADDResearch InfrastructureNational Superconducting Cyclotron Laboratory (NSCL)(MSU Cyclotron)Total</v>
      </c>
      <c r="B139" s="6" t="s">
        <v>81</v>
      </c>
      <c r="C139" s="6" t="s">
        <v>179</v>
      </c>
      <c r="D139" s="6" t="s">
        <v>211</v>
      </c>
      <c r="E139" s="6" t="s">
        <v>24</v>
      </c>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8">
        <v>0</v>
      </c>
      <c r="AO139" s="6"/>
      <c r="AP139" s="8">
        <v>0</v>
      </c>
      <c r="AQ139" s="6"/>
      <c r="AR139" s="6"/>
      <c r="AS139" s="6"/>
      <c r="AT139" s="6"/>
      <c r="AU139" s="6"/>
      <c r="AV139" s="6"/>
      <c r="AW139" s="6"/>
      <c r="AX139" s="6"/>
      <c r="AY139" s="6"/>
      <c r="AZ139" s="6"/>
      <c r="BA139" s="6"/>
      <c r="BB139" s="6"/>
      <c r="BC139" s="6"/>
      <c r="BD139" s="6"/>
      <c r="BE139" s="6"/>
      <c r="BF139" s="6"/>
      <c r="BG139" s="6"/>
      <c r="BH139" s="6"/>
      <c r="BI139" s="6"/>
      <c r="BJ139" s="6"/>
      <c r="BK139" s="6"/>
      <c r="BL139" s="8">
        <v>0</v>
      </c>
      <c r="BM139" s="6"/>
      <c r="BN139" s="6"/>
      <c r="BO139" s="6"/>
      <c r="BP139" s="6"/>
      <c r="BQ139" s="6"/>
      <c r="BR139" s="6"/>
      <c r="BS139" s="6"/>
      <c r="BT139" s="6"/>
      <c r="BU139" s="6"/>
      <c r="BV139" s="6"/>
      <c r="BW139" s="6"/>
      <c r="BX139" s="6"/>
      <c r="BY139" s="6"/>
      <c r="BZ139" s="6"/>
      <c r="CA139" s="6"/>
      <c r="CB139" s="6"/>
      <c r="CC139" s="6"/>
      <c r="CD139" s="6"/>
      <c r="CE139" s="6"/>
      <c r="CF139" s="6"/>
      <c r="CG139" s="9">
        <v>0</v>
      </c>
    </row>
    <row r="140" spans="1:85" x14ac:dyDescent="0.3">
      <c r="A140" s="3" t="str">
        <f t="shared" si="4"/>
        <v>ADDResearch InfrastructureNatural Hazards Engineering Research Infrastructure (NHERI)Total</v>
      </c>
      <c r="B140" s="6" t="s">
        <v>81</v>
      </c>
      <c r="C140" s="6" t="s">
        <v>179</v>
      </c>
      <c r="D140" s="6" t="s">
        <v>212</v>
      </c>
      <c r="E140" s="6" t="s">
        <v>24</v>
      </c>
      <c r="F140" s="6"/>
      <c r="G140" s="6"/>
      <c r="H140" s="6"/>
      <c r="I140" s="6"/>
      <c r="J140" s="6"/>
      <c r="K140" s="6"/>
      <c r="L140" s="6"/>
      <c r="M140" s="6"/>
      <c r="N140" s="6"/>
      <c r="O140" s="6"/>
      <c r="P140" s="6"/>
      <c r="Q140" s="6"/>
      <c r="R140" s="6"/>
      <c r="S140" s="6"/>
      <c r="T140" s="6"/>
      <c r="U140" s="8">
        <v>12</v>
      </c>
      <c r="V140" s="6"/>
      <c r="W140" s="6"/>
      <c r="X140" s="6"/>
      <c r="Y140" s="6"/>
      <c r="Z140" s="6"/>
      <c r="AA140" s="8">
        <v>12</v>
      </c>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8">
        <v>12</v>
      </c>
      <c r="BM140" s="6"/>
      <c r="BN140" s="6"/>
      <c r="BO140" s="6"/>
      <c r="BP140" s="6"/>
      <c r="BQ140" s="6"/>
      <c r="BR140" s="6"/>
      <c r="BS140" s="6"/>
      <c r="BT140" s="6"/>
      <c r="BU140" s="6"/>
      <c r="BV140" s="6"/>
      <c r="BW140" s="6"/>
      <c r="BX140" s="6"/>
      <c r="BY140" s="6"/>
      <c r="BZ140" s="6"/>
      <c r="CA140" s="6"/>
      <c r="CB140" s="6"/>
      <c r="CC140" s="6"/>
      <c r="CD140" s="6"/>
      <c r="CE140" s="6"/>
      <c r="CF140" s="6"/>
      <c r="CG140" s="9">
        <v>12</v>
      </c>
    </row>
    <row r="141" spans="1:85" x14ac:dyDescent="0.3">
      <c r="A141" s="3" t="str">
        <f t="shared" si="4"/>
        <v>ADDResearch InfrastructureNetworking and Computational Resources Infrastructure and ServicesTotal</v>
      </c>
      <c r="B141" s="6" t="s">
        <v>81</v>
      </c>
      <c r="C141" s="6" t="s">
        <v>179</v>
      </c>
      <c r="D141" s="6" t="s">
        <v>213</v>
      </c>
      <c r="E141" s="6" t="s">
        <v>24</v>
      </c>
      <c r="F141" s="6"/>
      <c r="G141" s="6"/>
      <c r="H141" s="6"/>
      <c r="I141" s="6"/>
      <c r="J141" s="6"/>
      <c r="K141" s="6"/>
      <c r="L141" s="6"/>
      <c r="M141" s="6"/>
      <c r="N141" s="6"/>
      <c r="O141" s="6"/>
      <c r="P141" s="6"/>
      <c r="Q141" s="8">
        <v>129.80000000000001</v>
      </c>
      <c r="R141" s="6"/>
      <c r="S141" s="8">
        <v>129.80000000000001</v>
      </c>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8">
        <v>129.80000000000001</v>
      </c>
      <c r="BM141" s="6"/>
      <c r="BN141" s="6"/>
      <c r="BO141" s="6"/>
      <c r="BP141" s="6"/>
      <c r="BQ141" s="6"/>
      <c r="BR141" s="6"/>
      <c r="BS141" s="6"/>
      <c r="BT141" s="6"/>
      <c r="BU141" s="6"/>
      <c r="BV141" s="6"/>
      <c r="BW141" s="6"/>
      <c r="BX141" s="6"/>
      <c r="BY141" s="6"/>
      <c r="BZ141" s="6"/>
      <c r="CA141" s="6"/>
      <c r="CB141" s="6"/>
      <c r="CC141" s="6"/>
      <c r="CD141" s="6"/>
      <c r="CE141" s="6"/>
      <c r="CF141" s="6"/>
      <c r="CG141" s="9">
        <v>129.80000000000001</v>
      </c>
    </row>
    <row r="142" spans="1:85" x14ac:dyDescent="0.3">
      <c r="A142" s="3" t="str">
        <f t="shared" si="4"/>
        <v>ADDResearch InfrastructureNSF National Optical-infrared Astronomy Research LaboratoryTotal</v>
      </c>
      <c r="B142" s="6" t="s">
        <v>81</v>
      </c>
      <c r="C142" s="6" t="s">
        <v>179</v>
      </c>
      <c r="D142" s="6" t="s">
        <v>214</v>
      </c>
      <c r="E142" s="6" t="s">
        <v>24</v>
      </c>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8">
        <v>26.26</v>
      </c>
      <c r="AJ142" s="6"/>
      <c r="AK142" s="6"/>
      <c r="AL142" s="6"/>
      <c r="AM142" s="6"/>
      <c r="AN142" s="6"/>
      <c r="AO142" s="6"/>
      <c r="AP142" s="8">
        <v>26.26</v>
      </c>
      <c r="AQ142" s="6"/>
      <c r="AR142" s="6"/>
      <c r="AS142" s="6"/>
      <c r="AT142" s="6"/>
      <c r="AU142" s="6"/>
      <c r="AV142" s="6"/>
      <c r="AW142" s="6"/>
      <c r="AX142" s="6"/>
      <c r="AY142" s="6"/>
      <c r="AZ142" s="6"/>
      <c r="BA142" s="6"/>
      <c r="BB142" s="6"/>
      <c r="BC142" s="6"/>
      <c r="BD142" s="6"/>
      <c r="BE142" s="6"/>
      <c r="BF142" s="6"/>
      <c r="BG142" s="6"/>
      <c r="BH142" s="6"/>
      <c r="BI142" s="6"/>
      <c r="BJ142" s="6"/>
      <c r="BK142" s="6"/>
      <c r="BL142" s="8">
        <v>26.26</v>
      </c>
      <c r="BM142" s="6"/>
      <c r="BN142" s="6"/>
      <c r="BO142" s="6"/>
      <c r="BP142" s="6"/>
      <c r="BQ142" s="6"/>
      <c r="BR142" s="6"/>
      <c r="BS142" s="6"/>
      <c r="BT142" s="6"/>
      <c r="BU142" s="6"/>
      <c r="BV142" s="6"/>
      <c r="BW142" s="6"/>
      <c r="BX142" s="6"/>
      <c r="BY142" s="6"/>
      <c r="BZ142" s="6"/>
      <c r="CA142" s="6"/>
      <c r="CB142" s="6"/>
      <c r="CC142" s="6"/>
      <c r="CD142" s="6"/>
      <c r="CE142" s="6"/>
      <c r="CF142" s="6"/>
      <c r="CG142" s="9">
        <v>26.26</v>
      </c>
    </row>
    <row r="143" spans="1:85" x14ac:dyDescent="0.3">
      <c r="A143" s="3" t="str">
        <f t="shared" si="4"/>
        <v>ADDResearch InfrastructureOcean Observatories Initiative (OOI)Total</v>
      </c>
      <c r="B143" s="6" t="s">
        <v>81</v>
      </c>
      <c r="C143" s="6" t="s">
        <v>179</v>
      </c>
      <c r="D143" s="6" t="s">
        <v>215</v>
      </c>
      <c r="E143" s="6" t="s">
        <v>24</v>
      </c>
      <c r="F143" s="6"/>
      <c r="G143" s="6"/>
      <c r="H143" s="6"/>
      <c r="I143" s="6"/>
      <c r="J143" s="6"/>
      <c r="K143" s="6"/>
      <c r="L143" s="6"/>
      <c r="M143" s="6"/>
      <c r="N143" s="6"/>
      <c r="O143" s="6"/>
      <c r="P143" s="6"/>
      <c r="Q143" s="6"/>
      <c r="R143" s="6"/>
      <c r="S143" s="6"/>
      <c r="T143" s="6"/>
      <c r="U143" s="6"/>
      <c r="V143" s="6"/>
      <c r="W143" s="6"/>
      <c r="X143" s="6"/>
      <c r="Y143" s="6"/>
      <c r="Z143" s="6"/>
      <c r="AA143" s="6"/>
      <c r="AB143" s="6"/>
      <c r="AC143" s="6"/>
      <c r="AD143" s="8">
        <v>45</v>
      </c>
      <c r="AE143" s="6"/>
      <c r="AF143" s="8">
        <v>0</v>
      </c>
      <c r="AG143" s="6"/>
      <c r="AH143" s="8">
        <v>45</v>
      </c>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8">
        <v>45</v>
      </c>
      <c r="BM143" s="6"/>
      <c r="BN143" s="6"/>
      <c r="BO143" s="6"/>
      <c r="BP143" s="6"/>
      <c r="BQ143" s="6"/>
      <c r="BR143" s="6"/>
      <c r="BS143" s="6"/>
      <c r="BT143" s="6"/>
      <c r="BU143" s="6"/>
      <c r="BV143" s="6"/>
      <c r="BW143" s="6"/>
      <c r="BX143" s="6"/>
      <c r="BY143" s="6"/>
      <c r="BZ143" s="6"/>
      <c r="CA143" s="6"/>
      <c r="CB143" s="6"/>
      <c r="CC143" s="6"/>
      <c r="CD143" s="6"/>
      <c r="CE143" s="6"/>
      <c r="CF143" s="6"/>
      <c r="CG143" s="9">
        <v>45</v>
      </c>
    </row>
    <row r="144" spans="1:85" x14ac:dyDescent="0.3">
      <c r="A144" s="3" t="str">
        <f t="shared" si="4"/>
        <v>ADDResearch InfrastructureOther MPS FacilitiesTotal</v>
      </c>
      <c r="B144" s="6" t="s">
        <v>81</v>
      </c>
      <c r="C144" s="6" t="s">
        <v>179</v>
      </c>
      <c r="D144" s="6" t="s">
        <v>216</v>
      </c>
      <c r="E144" s="6" t="s">
        <v>24</v>
      </c>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8">
        <v>0</v>
      </c>
      <c r="AJ144" s="6"/>
      <c r="AK144" s="8">
        <v>3</v>
      </c>
      <c r="AL144" s="6"/>
      <c r="AM144" s="8">
        <v>0</v>
      </c>
      <c r="AN144" s="6"/>
      <c r="AO144" s="6"/>
      <c r="AP144" s="8">
        <v>3</v>
      </c>
      <c r="AQ144" s="6"/>
      <c r="AR144" s="6"/>
      <c r="AS144" s="6"/>
      <c r="AT144" s="6"/>
      <c r="AU144" s="6"/>
      <c r="AV144" s="6"/>
      <c r="AW144" s="6"/>
      <c r="AX144" s="6"/>
      <c r="AY144" s="6"/>
      <c r="AZ144" s="6"/>
      <c r="BA144" s="6"/>
      <c r="BB144" s="6"/>
      <c r="BC144" s="6"/>
      <c r="BD144" s="6"/>
      <c r="BE144" s="6"/>
      <c r="BF144" s="6"/>
      <c r="BG144" s="6"/>
      <c r="BH144" s="6"/>
      <c r="BI144" s="6"/>
      <c r="BJ144" s="6"/>
      <c r="BK144" s="6"/>
      <c r="BL144" s="8">
        <v>3</v>
      </c>
      <c r="BM144" s="6"/>
      <c r="BN144" s="6"/>
      <c r="BO144" s="6"/>
      <c r="BP144" s="6"/>
      <c r="BQ144" s="6"/>
      <c r="BR144" s="6"/>
      <c r="BS144" s="6"/>
      <c r="BT144" s="6"/>
      <c r="BU144" s="6"/>
      <c r="BV144" s="6"/>
      <c r="BW144" s="6"/>
      <c r="BX144" s="6"/>
      <c r="BY144" s="6"/>
      <c r="BZ144" s="6"/>
      <c r="CA144" s="6"/>
      <c r="CB144" s="6"/>
      <c r="CC144" s="6"/>
      <c r="CD144" s="6"/>
      <c r="CE144" s="6"/>
      <c r="CF144" s="6"/>
      <c r="CG144" s="9">
        <v>3</v>
      </c>
    </row>
    <row r="145" spans="1:85" x14ac:dyDescent="0.3">
      <c r="A145" s="3" t="str">
        <f t="shared" si="4"/>
        <v>ADDResearch InfrastructurePolar Environment, Health, and Safety (PEHS)Total</v>
      </c>
      <c r="B145" s="6" t="s">
        <v>81</v>
      </c>
      <c r="C145" s="6" t="s">
        <v>179</v>
      </c>
      <c r="D145" s="6" t="s">
        <v>217</v>
      </c>
      <c r="E145" s="6" t="s">
        <v>24</v>
      </c>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8">
        <v>8.2899999999999991</v>
      </c>
      <c r="AF145" s="6"/>
      <c r="AG145" s="6"/>
      <c r="AH145" s="8">
        <v>8.2899999999999991</v>
      </c>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8">
        <v>8.2899999999999991</v>
      </c>
      <c r="BM145" s="6"/>
      <c r="BN145" s="6"/>
      <c r="BO145" s="6"/>
      <c r="BP145" s="6"/>
      <c r="BQ145" s="6"/>
      <c r="BR145" s="6"/>
      <c r="BS145" s="6"/>
      <c r="BT145" s="6"/>
      <c r="BU145" s="6"/>
      <c r="BV145" s="6"/>
      <c r="BW145" s="6"/>
      <c r="BX145" s="6"/>
      <c r="BY145" s="6"/>
      <c r="BZ145" s="6"/>
      <c r="CA145" s="6"/>
      <c r="CB145" s="6"/>
      <c r="CC145" s="6"/>
      <c r="CD145" s="6"/>
      <c r="CE145" s="6"/>
      <c r="CF145" s="6"/>
      <c r="CG145" s="9">
        <v>8.2899999999999991</v>
      </c>
    </row>
    <row r="146" spans="1:85" x14ac:dyDescent="0.3">
      <c r="A146" s="3" t="str">
        <f t="shared" si="4"/>
        <v>ADDResearch InfrastructureResearch Infrastructure Stewardship OffsetTotal</v>
      </c>
      <c r="B146" s="6" t="s">
        <v>81</v>
      </c>
      <c r="C146" s="6" t="s">
        <v>179</v>
      </c>
      <c r="D146" s="6" t="s">
        <v>218</v>
      </c>
      <c r="E146" s="6" t="s">
        <v>24</v>
      </c>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8">
        <v>-1.64</v>
      </c>
      <c r="BG146" s="8">
        <v>-1.64</v>
      </c>
      <c r="BH146" s="6"/>
      <c r="BI146" s="6"/>
      <c r="BJ146" s="6"/>
      <c r="BK146" s="6"/>
      <c r="BL146" s="8">
        <v>-1.64</v>
      </c>
      <c r="BM146" s="6"/>
      <c r="BN146" s="6"/>
      <c r="BO146" s="6"/>
      <c r="BP146" s="6"/>
      <c r="BQ146" s="6"/>
      <c r="BR146" s="6"/>
      <c r="BS146" s="6"/>
      <c r="BT146" s="6"/>
      <c r="BU146" s="6"/>
      <c r="BV146" s="6"/>
      <c r="BW146" s="6"/>
      <c r="BX146" s="6"/>
      <c r="BY146" s="6"/>
      <c r="BZ146" s="6"/>
      <c r="CA146" s="6"/>
      <c r="CB146" s="6"/>
      <c r="CC146" s="6"/>
      <c r="CD146" s="6"/>
      <c r="CE146" s="6"/>
      <c r="CF146" s="6"/>
      <c r="CG146" s="9">
        <v>-1.64</v>
      </c>
    </row>
    <row r="147" spans="1:85" x14ac:dyDescent="0.3">
      <c r="A147" s="3" t="str">
        <f t="shared" si="4"/>
        <v>ADDResearch InfrastructureResearch ResourcesTotal</v>
      </c>
      <c r="B147" s="6" t="s">
        <v>81</v>
      </c>
      <c r="C147" s="6" t="s">
        <v>179</v>
      </c>
      <c r="D147" s="6" t="s">
        <v>219</v>
      </c>
      <c r="E147" s="6" t="s">
        <v>24</v>
      </c>
      <c r="F147" s="8">
        <v>40.51</v>
      </c>
      <c r="G147" s="6"/>
      <c r="H147" s="6"/>
      <c r="I147" s="8">
        <v>10</v>
      </c>
      <c r="J147" s="6"/>
      <c r="K147" s="6"/>
      <c r="L147" s="8">
        <v>50.51</v>
      </c>
      <c r="M147" s="8">
        <v>1</v>
      </c>
      <c r="N147" s="8">
        <v>29</v>
      </c>
      <c r="O147" s="8">
        <v>3</v>
      </c>
      <c r="P147" s="8">
        <v>7.84</v>
      </c>
      <c r="Q147" s="6"/>
      <c r="R147" s="6"/>
      <c r="S147" s="8">
        <v>40.840000000000003</v>
      </c>
      <c r="T147" s="6"/>
      <c r="U147" s="6"/>
      <c r="V147" s="6"/>
      <c r="W147" s="6"/>
      <c r="X147" s="6"/>
      <c r="Y147" s="6"/>
      <c r="Z147" s="6"/>
      <c r="AA147" s="6"/>
      <c r="AB147" s="8">
        <v>28.5</v>
      </c>
      <c r="AC147" s="8">
        <v>26.33</v>
      </c>
      <c r="AD147" s="8">
        <v>10</v>
      </c>
      <c r="AE147" s="8">
        <v>25</v>
      </c>
      <c r="AF147" s="6"/>
      <c r="AG147" s="6"/>
      <c r="AH147" s="8">
        <v>89.83</v>
      </c>
      <c r="AI147" s="8">
        <v>8.8000000000000007</v>
      </c>
      <c r="AJ147" s="8">
        <v>5.65</v>
      </c>
      <c r="AK147" s="8">
        <v>1.45</v>
      </c>
      <c r="AL147" s="6"/>
      <c r="AM147" s="8">
        <v>0</v>
      </c>
      <c r="AN147" s="8">
        <v>2.5</v>
      </c>
      <c r="AO147" s="6"/>
      <c r="AP147" s="8">
        <v>18.399999999999999</v>
      </c>
      <c r="AQ147" s="8">
        <v>4.5</v>
      </c>
      <c r="AR147" s="6"/>
      <c r="AS147" s="8">
        <v>0</v>
      </c>
      <c r="AT147" s="8">
        <v>5.09</v>
      </c>
      <c r="AU147" s="6"/>
      <c r="AV147" s="8">
        <v>9.59</v>
      </c>
      <c r="AW147" s="6"/>
      <c r="AX147" s="6"/>
      <c r="AY147" s="6"/>
      <c r="AZ147" s="6"/>
      <c r="BA147" s="6"/>
      <c r="BB147" s="6"/>
      <c r="BC147" s="6"/>
      <c r="BD147" s="6"/>
      <c r="BE147" s="6"/>
      <c r="BF147" s="6"/>
      <c r="BG147" s="6"/>
      <c r="BH147" s="6"/>
      <c r="BI147" s="6"/>
      <c r="BJ147" s="6"/>
      <c r="BK147" s="6"/>
      <c r="BL147" s="8">
        <v>209.17</v>
      </c>
      <c r="BM147" s="6"/>
      <c r="BN147" s="6"/>
      <c r="BO147" s="6"/>
      <c r="BP147" s="6"/>
      <c r="BQ147" s="6"/>
      <c r="BR147" s="6"/>
      <c r="BS147" s="6"/>
      <c r="BT147" s="6"/>
      <c r="BU147" s="6"/>
      <c r="BV147" s="6"/>
      <c r="BW147" s="6"/>
      <c r="BX147" s="6"/>
      <c r="BY147" s="6"/>
      <c r="BZ147" s="6"/>
      <c r="CA147" s="6"/>
      <c r="CB147" s="6"/>
      <c r="CC147" s="6"/>
      <c r="CD147" s="6"/>
      <c r="CE147" s="6"/>
      <c r="CF147" s="6"/>
      <c r="CG147" s="9">
        <v>209.17</v>
      </c>
    </row>
    <row r="148" spans="1:85" x14ac:dyDescent="0.3">
      <c r="A148" s="3" t="str">
        <f t="shared" si="4"/>
        <v>ADDResearch InfrastructureScience &amp; Technology Policy Institute (STPI)Total</v>
      </c>
      <c r="B148" s="6" t="s">
        <v>81</v>
      </c>
      <c r="C148" s="6" t="s">
        <v>179</v>
      </c>
      <c r="D148" s="6" t="s">
        <v>220</v>
      </c>
      <c r="E148" s="6" t="s">
        <v>24</v>
      </c>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8">
        <v>4.9800000000000004</v>
      </c>
      <c r="BG148" s="8">
        <v>4.9800000000000004</v>
      </c>
      <c r="BH148" s="6"/>
      <c r="BI148" s="6"/>
      <c r="BJ148" s="6"/>
      <c r="BK148" s="6"/>
      <c r="BL148" s="8">
        <v>4.9800000000000004</v>
      </c>
      <c r="BM148" s="6"/>
      <c r="BN148" s="6"/>
      <c r="BO148" s="6"/>
      <c r="BP148" s="6"/>
      <c r="BQ148" s="6"/>
      <c r="BR148" s="6"/>
      <c r="BS148" s="6"/>
      <c r="BT148" s="6"/>
      <c r="BU148" s="6"/>
      <c r="BV148" s="6"/>
      <c r="BW148" s="6"/>
      <c r="BX148" s="6"/>
      <c r="BY148" s="6"/>
      <c r="BZ148" s="6"/>
      <c r="CA148" s="6"/>
      <c r="CB148" s="6"/>
      <c r="CC148" s="6"/>
      <c r="CD148" s="6"/>
      <c r="CE148" s="6"/>
      <c r="CF148" s="6"/>
      <c r="CG148" s="9">
        <v>4.9800000000000004</v>
      </c>
    </row>
    <row r="149" spans="1:85" x14ac:dyDescent="0.3">
      <c r="A149" s="3" t="str">
        <f t="shared" si="4"/>
        <v>ADDResearch InfrastructureSeismological Facility for the Advancement of GEoscience (SAGE)Total</v>
      </c>
      <c r="B149" s="6" t="s">
        <v>81</v>
      </c>
      <c r="C149" s="6" t="s">
        <v>179</v>
      </c>
      <c r="D149" s="6" t="s">
        <v>221</v>
      </c>
      <c r="E149" s="6" t="s">
        <v>24</v>
      </c>
      <c r="F149" s="6"/>
      <c r="G149" s="6"/>
      <c r="H149" s="6"/>
      <c r="I149" s="6"/>
      <c r="J149" s="6"/>
      <c r="K149" s="6"/>
      <c r="L149" s="6"/>
      <c r="M149" s="6"/>
      <c r="N149" s="6"/>
      <c r="O149" s="6"/>
      <c r="P149" s="6"/>
      <c r="Q149" s="6"/>
      <c r="R149" s="6"/>
      <c r="S149" s="6"/>
      <c r="T149" s="6"/>
      <c r="U149" s="6"/>
      <c r="V149" s="6"/>
      <c r="W149" s="6"/>
      <c r="X149" s="6"/>
      <c r="Y149" s="6"/>
      <c r="Z149" s="6"/>
      <c r="AA149" s="6"/>
      <c r="AB149" s="6"/>
      <c r="AC149" s="8">
        <v>21</v>
      </c>
      <c r="AD149" s="6"/>
      <c r="AE149" s="8">
        <v>0.87</v>
      </c>
      <c r="AF149" s="6"/>
      <c r="AG149" s="6"/>
      <c r="AH149" s="8">
        <v>21.87</v>
      </c>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8">
        <v>21.87</v>
      </c>
      <c r="BM149" s="6"/>
      <c r="BN149" s="6"/>
      <c r="BO149" s="6"/>
      <c r="BP149" s="6"/>
      <c r="BQ149" s="6"/>
      <c r="BR149" s="6"/>
      <c r="BS149" s="6"/>
      <c r="BT149" s="6"/>
      <c r="BU149" s="6"/>
      <c r="BV149" s="6"/>
      <c r="BW149" s="6"/>
      <c r="BX149" s="6"/>
      <c r="BY149" s="6"/>
      <c r="BZ149" s="6"/>
      <c r="CA149" s="6"/>
      <c r="CB149" s="6"/>
      <c r="CC149" s="6"/>
      <c r="CD149" s="6"/>
      <c r="CE149" s="6"/>
      <c r="CF149" s="6"/>
      <c r="CG149" s="9">
        <v>21.87</v>
      </c>
    </row>
    <row r="150" spans="1:85" x14ac:dyDescent="0.3">
      <c r="A150" s="3" t="str">
        <f t="shared" si="4"/>
        <v>ADDResearch InfrastructureVera C. Rubin ObservatoryTotal</v>
      </c>
      <c r="B150" s="6" t="s">
        <v>81</v>
      </c>
      <c r="C150" s="6" t="s">
        <v>179</v>
      </c>
      <c r="D150" s="6" t="s">
        <v>222</v>
      </c>
      <c r="E150" s="6" t="s">
        <v>24</v>
      </c>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8">
        <v>5.2</v>
      </c>
      <c r="AJ150" s="6"/>
      <c r="AK150" s="6"/>
      <c r="AL150" s="6"/>
      <c r="AM150" s="6"/>
      <c r="AN150" s="6"/>
      <c r="AO150" s="6"/>
      <c r="AP150" s="8">
        <v>5.2</v>
      </c>
      <c r="AQ150" s="6"/>
      <c r="AR150" s="6"/>
      <c r="AS150" s="6"/>
      <c r="AT150" s="6"/>
      <c r="AU150" s="6"/>
      <c r="AV150" s="6"/>
      <c r="AW150" s="6"/>
      <c r="AX150" s="6"/>
      <c r="AY150" s="6"/>
      <c r="AZ150" s="6"/>
      <c r="BA150" s="6"/>
      <c r="BB150" s="6"/>
      <c r="BC150" s="6"/>
      <c r="BD150" s="6"/>
      <c r="BE150" s="6"/>
      <c r="BF150" s="6"/>
      <c r="BG150" s="6"/>
      <c r="BH150" s="6"/>
      <c r="BI150" s="6"/>
      <c r="BJ150" s="6"/>
      <c r="BK150" s="6"/>
      <c r="BL150" s="8">
        <v>5.2</v>
      </c>
      <c r="BM150" s="6"/>
      <c r="BN150" s="6"/>
      <c r="BO150" s="6"/>
      <c r="BP150" s="6"/>
      <c r="BQ150" s="6"/>
      <c r="BR150" s="6"/>
      <c r="BS150" s="6"/>
      <c r="BT150" s="8">
        <v>40.75</v>
      </c>
      <c r="BU150" s="8">
        <v>40.75</v>
      </c>
      <c r="BV150" s="8">
        <v>40.75</v>
      </c>
      <c r="BW150" s="6"/>
      <c r="BX150" s="6"/>
      <c r="BY150" s="6"/>
      <c r="BZ150" s="6"/>
      <c r="CA150" s="6"/>
      <c r="CB150" s="6"/>
      <c r="CC150" s="6"/>
      <c r="CD150" s="6"/>
      <c r="CE150" s="6"/>
      <c r="CF150" s="6"/>
      <c r="CG150" s="9">
        <v>45.95</v>
      </c>
    </row>
    <row r="151" spans="1:85" x14ac:dyDescent="0.3">
      <c r="A151" s="3" t="str">
        <f t="shared" si="4"/>
        <v>NON ADDTotalTotalTotal</v>
      </c>
      <c r="B151" s="6" t="s">
        <v>223</v>
      </c>
      <c r="C151" s="6" t="s">
        <v>24</v>
      </c>
      <c r="D151" s="6" t="s">
        <v>24</v>
      </c>
      <c r="E151" s="6" t="s">
        <v>24</v>
      </c>
      <c r="F151" s="6"/>
      <c r="G151" s="6"/>
      <c r="H151" s="6"/>
      <c r="I151" s="6"/>
      <c r="J151" s="6"/>
      <c r="K151" s="8">
        <v>738.95</v>
      </c>
      <c r="L151" s="8">
        <v>738.95</v>
      </c>
      <c r="M151" s="6"/>
      <c r="N151" s="6"/>
      <c r="O151" s="6"/>
      <c r="P151" s="6"/>
      <c r="Q151" s="8">
        <v>3.6</v>
      </c>
      <c r="R151" s="8">
        <v>2062.98</v>
      </c>
      <c r="S151" s="8">
        <v>2066.58</v>
      </c>
      <c r="T151" s="6"/>
      <c r="U151" s="6"/>
      <c r="V151" s="6"/>
      <c r="W151" s="6"/>
      <c r="X151" s="8">
        <v>0</v>
      </c>
      <c r="Y151" s="6"/>
      <c r="Z151" s="8">
        <v>1361.08</v>
      </c>
      <c r="AA151" s="8">
        <v>1361.08</v>
      </c>
      <c r="AB151" s="8">
        <v>0.71</v>
      </c>
      <c r="AC151" s="8">
        <v>12</v>
      </c>
      <c r="AD151" s="8">
        <v>4</v>
      </c>
      <c r="AE151" s="8">
        <v>84.61</v>
      </c>
      <c r="AF151" s="8">
        <v>0</v>
      </c>
      <c r="AG151" s="8">
        <v>457.9</v>
      </c>
      <c r="AH151" s="8">
        <v>559.22</v>
      </c>
      <c r="AI151" s="8">
        <v>14.89</v>
      </c>
      <c r="AJ151" s="8">
        <v>359.5</v>
      </c>
      <c r="AK151" s="8">
        <v>358.88</v>
      </c>
      <c r="AL151" s="8">
        <v>79</v>
      </c>
      <c r="AM151" s="8">
        <v>202.5</v>
      </c>
      <c r="AN151" s="8">
        <v>154.72999999999999</v>
      </c>
      <c r="AO151" s="8">
        <v>220.68</v>
      </c>
      <c r="AP151" s="8">
        <v>1390.18</v>
      </c>
      <c r="AQ151" s="8">
        <v>0</v>
      </c>
      <c r="AR151" s="8">
        <v>0</v>
      </c>
      <c r="AS151" s="8">
        <v>0</v>
      </c>
      <c r="AT151" s="8">
        <v>0</v>
      </c>
      <c r="AU151" s="8">
        <v>133.72999999999999</v>
      </c>
      <c r="AV151" s="8">
        <v>133.72999999999999</v>
      </c>
      <c r="AW151" s="6"/>
      <c r="AX151" s="6"/>
      <c r="AY151" s="6"/>
      <c r="AZ151" s="6"/>
      <c r="BA151" s="8">
        <v>525.03</v>
      </c>
      <c r="BB151" s="8">
        <v>525.03</v>
      </c>
      <c r="BC151" s="8">
        <v>13.4</v>
      </c>
      <c r="BD151" s="8">
        <v>13.4</v>
      </c>
      <c r="BE151" s="8">
        <v>15</v>
      </c>
      <c r="BF151" s="8">
        <v>27.53</v>
      </c>
      <c r="BG151" s="8">
        <v>42.53</v>
      </c>
      <c r="BH151" s="6"/>
      <c r="BI151" s="6"/>
      <c r="BJ151" s="6"/>
      <c r="BK151" s="6"/>
      <c r="BL151" s="8">
        <v>6830.7</v>
      </c>
      <c r="BM151" s="8">
        <v>126</v>
      </c>
      <c r="BN151" s="8">
        <v>73.27</v>
      </c>
      <c r="BO151" s="8">
        <v>129.35</v>
      </c>
      <c r="BP151" s="6"/>
      <c r="BQ151" s="8">
        <v>173.27</v>
      </c>
      <c r="BR151" s="8">
        <v>501.89</v>
      </c>
      <c r="BS151" s="8">
        <v>501.89</v>
      </c>
      <c r="BT151" s="8">
        <v>36</v>
      </c>
      <c r="BU151" s="8">
        <v>36</v>
      </c>
      <c r="BV151" s="8">
        <v>36</v>
      </c>
      <c r="BW151" s="6"/>
      <c r="BX151" s="8">
        <v>4.51</v>
      </c>
      <c r="BY151" s="8">
        <v>4.51</v>
      </c>
      <c r="BZ151" s="8">
        <v>4.51</v>
      </c>
      <c r="CA151" s="6"/>
      <c r="CB151" s="6"/>
      <c r="CC151" s="6"/>
      <c r="CD151" s="6"/>
      <c r="CE151" s="6"/>
      <c r="CF151" s="6"/>
      <c r="CG151" s="9">
        <v>7373.1</v>
      </c>
    </row>
    <row r="152" spans="1:85" x14ac:dyDescent="0.3">
      <c r="A152" s="3" t="str">
        <f t="shared" si="4"/>
        <v>NON ADDCross-Foundation ActivitiesTotalTotal</v>
      </c>
      <c r="B152" s="6" t="s">
        <v>223</v>
      </c>
      <c r="C152" s="6" t="s">
        <v>224</v>
      </c>
      <c r="D152" s="6" t="s">
        <v>24</v>
      </c>
      <c r="E152" s="6" t="s">
        <v>24</v>
      </c>
      <c r="F152" s="6"/>
      <c r="G152" s="6"/>
      <c r="H152" s="6"/>
      <c r="I152" s="6"/>
      <c r="J152" s="6"/>
      <c r="K152" s="8">
        <v>259.35000000000002</v>
      </c>
      <c r="L152" s="8">
        <v>259.35000000000002</v>
      </c>
      <c r="M152" s="6"/>
      <c r="N152" s="6"/>
      <c r="O152" s="6"/>
      <c r="P152" s="6"/>
      <c r="Q152" s="6"/>
      <c r="R152" s="8">
        <v>800.99</v>
      </c>
      <c r="S152" s="8">
        <v>800.99</v>
      </c>
      <c r="T152" s="6"/>
      <c r="U152" s="6"/>
      <c r="V152" s="6"/>
      <c r="W152" s="6"/>
      <c r="X152" s="8">
        <v>0</v>
      </c>
      <c r="Y152" s="6"/>
      <c r="Z152" s="8">
        <v>714.6</v>
      </c>
      <c r="AA152" s="8">
        <v>714.6</v>
      </c>
      <c r="AB152" s="6"/>
      <c r="AC152" s="6"/>
      <c r="AD152" s="8">
        <v>4</v>
      </c>
      <c r="AE152" s="8">
        <v>5.6</v>
      </c>
      <c r="AF152" s="8">
        <v>0</v>
      </c>
      <c r="AG152" s="8">
        <v>65.599999999999994</v>
      </c>
      <c r="AH152" s="8">
        <v>75.2</v>
      </c>
      <c r="AI152" s="8">
        <v>6</v>
      </c>
      <c r="AJ152" s="8">
        <v>227.6</v>
      </c>
      <c r="AK152" s="8">
        <v>237.54</v>
      </c>
      <c r="AL152" s="8">
        <v>42.25</v>
      </c>
      <c r="AM152" s="8">
        <v>118.5</v>
      </c>
      <c r="AN152" s="8">
        <v>96.93</v>
      </c>
      <c r="AO152" s="8">
        <v>0</v>
      </c>
      <c r="AP152" s="8">
        <v>728.82</v>
      </c>
      <c r="AQ152" s="8">
        <v>0</v>
      </c>
      <c r="AR152" s="6"/>
      <c r="AS152" s="8">
        <v>0</v>
      </c>
      <c r="AT152" s="8">
        <v>0</v>
      </c>
      <c r="AU152" s="8">
        <v>55.34</v>
      </c>
      <c r="AV152" s="8">
        <v>55.34</v>
      </c>
      <c r="AW152" s="6"/>
      <c r="AX152" s="6"/>
      <c r="AY152" s="6"/>
      <c r="AZ152" s="6"/>
      <c r="BA152" s="8">
        <v>284.93</v>
      </c>
      <c r="BB152" s="8">
        <v>284.93</v>
      </c>
      <c r="BC152" s="8">
        <v>7</v>
      </c>
      <c r="BD152" s="8">
        <v>7</v>
      </c>
      <c r="BE152" s="8">
        <v>14</v>
      </c>
      <c r="BF152" s="8">
        <v>0</v>
      </c>
      <c r="BG152" s="8">
        <v>14</v>
      </c>
      <c r="BH152" s="6"/>
      <c r="BI152" s="6"/>
      <c r="BJ152" s="6"/>
      <c r="BK152" s="6"/>
      <c r="BL152" s="8">
        <v>2940.23</v>
      </c>
      <c r="BM152" s="8">
        <v>63</v>
      </c>
      <c r="BN152" s="8">
        <v>2</v>
      </c>
      <c r="BO152" s="8">
        <v>4</v>
      </c>
      <c r="BP152" s="6"/>
      <c r="BQ152" s="8">
        <v>57</v>
      </c>
      <c r="BR152" s="8">
        <v>126</v>
      </c>
      <c r="BS152" s="8">
        <v>126</v>
      </c>
      <c r="BT152" s="6"/>
      <c r="BU152" s="6"/>
      <c r="BV152" s="6"/>
      <c r="BW152" s="6"/>
      <c r="BX152" s="6"/>
      <c r="BY152" s="6"/>
      <c r="BZ152" s="6"/>
      <c r="CA152" s="6"/>
      <c r="CB152" s="6"/>
      <c r="CC152" s="6"/>
      <c r="CD152" s="6"/>
      <c r="CE152" s="6"/>
      <c r="CF152" s="6"/>
      <c r="CG152" s="9">
        <v>3066.23</v>
      </c>
    </row>
    <row r="153" spans="1:85" x14ac:dyDescent="0.3">
      <c r="A153" s="3" t="str">
        <f t="shared" si="4"/>
        <v>NON ADDCross-Foundation ActivitiesAdvanced Manufacturing (Total AdMan+FutMan)Total</v>
      </c>
      <c r="B153" s="6" t="s">
        <v>223</v>
      </c>
      <c r="C153" s="6" t="s">
        <v>224</v>
      </c>
      <c r="D153" s="6" t="s">
        <v>225</v>
      </c>
      <c r="E153" s="6" t="s">
        <v>24</v>
      </c>
      <c r="F153" s="6"/>
      <c r="G153" s="6"/>
      <c r="H153" s="6"/>
      <c r="I153" s="6"/>
      <c r="J153" s="6"/>
      <c r="K153" s="8">
        <v>7.16</v>
      </c>
      <c r="L153" s="8">
        <v>7.16</v>
      </c>
      <c r="M153" s="6"/>
      <c r="N153" s="6"/>
      <c r="O153" s="6"/>
      <c r="P153" s="6"/>
      <c r="Q153" s="6"/>
      <c r="R153" s="8">
        <v>44.4</v>
      </c>
      <c r="S153" s="8">
        <v>44.4</v>
      </c>
      <c r="T153" s="6"/>
      <c r="U153" s="6"/>
      <c r="V153" s="6"/>
      <c r="W153" s="6"/>
      <c r="X153" s="6"/>
      <c r="Y153" s="6"/>
      <c r="Z153" s="8">
        <v>125</v>
      </c>
      <c r="AA153" s="8">
        <v>125</v>
      </c>
      <c r="AB153" s="6"/>
      <c r="AC153" s="6"/>
      <c r="AD153" s="6"/>
      <c r="AE153" s="6"/>
      <c r="AF153" s="6"/>
      <c r="AG153" s="6"/>
      <c r="AH153" s="6"/>
      <c r="AI153" s="6"/>
      <c r="AJ153" s="8">
        <v>92</v>
      </c>
      <c r="AK153" s="8">
        <v>32</v>
      </c>
      <c r="AL153" s="8">
        <v>1</v>
      </c>
      <c r="AM153" s="8">
        <v>0</v>
      </c>
      <c r="AN153" s="8">
        <v>3.33</v>
      </c>
      <c r="AO153" s="8">
        <v>0</v>
      </c>
      <c r="AP153" s="8">
        <v>128.33000000000001</v>
      </c>
      <c r="AQ153" s="6"/>
      <c r="AR153" s="6"/>
      <c r="AS153" s="6"/>
      <c r="AT153" s="6"/>
      <c r="AU153" s="8">
        <v>0.5</v>
      </c>
      <c r="AV153" s="8">
        <v>0.5</v>
      </c>
      <c r="AW153" s="6"/>
      <c r="AX153" s="6"/>
      <c r="AY153" s="6"/>
      <c r="AZ153" s="6"/>
      <c r="BA153" s="8">
        <v>54</v>
      </c>
      <c r="BB153" s="8">
        <v>54</v>
      </c>
      <c r="BC153" s="8">
        <v>0.5</v>
      </c>
      <c r="BD153" s="8">
        <v>0.5</v>
      </c>
      <c r="BE153" s="8">
        <v>1</v>
      </c>
      <c r="BF153" s="6"/>
      <c r="BG153" s="8">
        <v>1</v>
      </c>
      <c r="BH153" s="6"/>
      <c r="BI153" s="6"/>
      <c r="BJ153" s="6"/>
      <c r="BK153" s="6"/>
      <c r="BL153" s="8">
        <v>360.89</v>
      </c>
      <c r="BM153" s="6"/>
      <c r="BN153" s="6"/>
      <c r="BO153" s="8">
        <v>4</v>
      </c>
      <c r="BP153" s="6"/>
      <c r="BQ153" s="6"/>
      <c r="BR153" s="8">
        <v>4</v>
      </c>
      <c r="BS153" s="8">
        <v>4</v>
      </c>
      <c r="BT153" s="6"/>
      <c r="BU153" s="6"/>
      <c r="BV153" s="6"/>
      <c r="BW153" s="6"/>
      <c r="BX153" s="6"/>
      <c r="BY153" s="6"/>
      <c r="BZ153" s="6"/>
      <c r="CA153" s="6"/>
      <c r="CB153" s="6"/>
      <c r="CC153" s="6"/>
      <c r="CD153" s="6"/>
      <c r="CE153" s="6"/>
      <c r="CF153" s="6"/>
      <c r="CG153" s="9">
        <v>364.89</v>
      </c>
    </row>
    <row r="154" spans="1:85" x14ac:dyDescent="0.3">
      <c r="A154" s="3" t="str">
        <f t="shared" si="4"/>
        <v>NON ADDCross-Foundation ActivitiesAdvanced Manufacturing (Total AdMan+FutMan)AdvMan - Core Investments</v>
      </c>
      <c r="B154" s="6" t="s">
        <v>223</v>
      </c>
      <c r="C154" s="6" t="s">
        <v>224</v>
      </c>
      <c r="D154" s="6" t="s">
        <v>225</v>
      </c>
      <c r="E154" s="6" t="s">
        <v>226</v>
      </c>
      <c r="F154" s="6"/>
      <c r="G154" s="6"/>
      <c r="H154" s="6"/>
      <c r="I154" s="6"/>
      <c r="J154" s="6"/>
      <c r="K154" s="8">
        <v>3.16</v>
      </c>
      <c r="L154" s="8">
        <v>3.16</v>
      </c>
      <c r="M154" s="6"/>
      <c r="N154" s="6"/>
      <c r="O154" s="6"/>
      <c r="P154" s="6"/>
      <c r="Q154" s="6"/>
      <c r="R154" s="8">
        <v>44.4</v>
      </c>
      <c r="S154" s="8">
        <v>44.4</v>
      </c>
      <c r="T154" s="6"/>
      <c r="U154" s="6"/>
      <c r="V154" s="6"/>
      <c r="W154" s="6"/>
      <c r="X154" s="6"/>
      <c r="Y154" s="6"/>
      <c r="Z154" s="8">
        <v>105</v>
      </c>
      <c r="AA154" s="8">
        <v>105</v>
      </c>
      <c r="AB154" s="6"/>
      <c r="AC154" s="6"/>
      <c r="AD154" s="6"/>
      <c r="AE154" s="6"/>
      <c r="AF154" s="6"/>
      <c r="AG154" s="6"/>
      <c r="AH154" s="6"/>
      <c r="AI154" s="6"/>
      <c r="AJ154" s="8">
        <v>90</v>
      </c>
      <c r="AK154" s="8">
        <v>29</v>
      </c>
      <c r="AL154" s="8">
        <v>0</v>
      </c>
      <c r="AM154" s="8">
        <v>0</v>
      </c>
      <c r="AN154" s="8">
        <v>3.33</v>
      </c>
      <c r="AO154" s="8">
        <v>0</v>
      </c>
      <c r="AP154" s="8">
        <v>122.33</v>
      </c>
      <c r="AQ154" s="6"/>
      <c r="AR154" s="6"/>
      <c r="AS154" s="6"/>
      <c r="AT154" s="6"/>
      <c r="AU154" s="8">
        <v>0</v>
      </c>
      <c r="AV154" s="8">
        <v>0</v>
      </c>
      <c r="AW154" s="6"/>
      <c r="AX154" s="6"/>
      <c r="AY154" s="6"/>
      <c r="AZ154" s="6"/>
      <c r="BA154" s="8">
        <v>54</v>
      </c>
      <c r="BB154" s="8">
        <v>54</v>
      </c>
      <c r="BC154" s="6"/>
      <c r="BD154" s="6"/>
      <c r="BE154" s="8">
        <v>0.5</v>
      </c>
      <c r="BF154" s="6"/>
      <c r="BG154" s="8">
        <v>0.5</v>
      </c>
      <c r="BH154" s="6"/>
      <c r="BI154" s="6"/>
      <c r="BJ154" s="6"/>
      <c r="BK154" s="6"/>
      <c r="BL154" s="8">
        <v>329.39</v>
      </c>
      <c r="BM154" s="6"/>
      <c r="BN154" s="6"/>
      <c r="BO154" s="8">
        <v>4</v>
      </c>
      <c r="BP154" s="6"/>
      <c r="BQ154" s="6"/>
      <c r="BR154" s="8">
        <v>4</v>
      </c>
      <c r="BS154" s="8">
        <v>4</v>
      </c>
      <c r="BT154" s="6"/>
      <c r="BU154" s="6"/>
      <c r="BV154" s="6"/>
      <c r="BW154" s="6"/>
      <c r="BX154" s="6"/>
      <c r="BY154" s="6"/>
      <c r="BZ154" s="6"/>
      <c r="CA154" s="6"/>
      <c r="CB154" s="6"/>
      <c r="CC154" s="6"/>
      <c r="CD154" s="6"/>
      <c r="CE154" s="6"/>
      <c r="CF154" s="6"/>
      <c r="CG154" s="9">
        <v>333.39</v>
      </c>
    </row>
    <row r="155" spans="1:85" x14ac:dyDescent="0.3">
      <c r="A155" s="3" t="str">
        <f t="shared" si="4"/>
        <v>NON ADDCross-Foundation ActivitiesAdvanced Manufacturing (Total AdMan+FutMan)AdvMan - Future Manufacturing</v>
      </c>
      <c r="B155" s="6" t="s">
        <v>223</v>
      </c>
      <c r="C155" s="6" t="s">
        <v>224</v>
      </c>
      <c r="D155" s="6" t="s">
        <v>225</v>
      </c>
      <c r="E155" s="6" t="s">
        <v>227</v>
      </c>
      <c r="F155" s="6"/>
      <c r="G155" s="6"/>
      <c r="H155" s="6"/>
      <c r="I155" s="6"/>
      <c r="J155" s="6"/>
      <c r="K155" s="8">
        <v>4</v>
      </c>
      <c r="L155" s="8">
        <v>4</v>
      </c>
      <c r="M155" s="6"/>
      <c r="N155" s="6"/>
      <c r="O155" s="6"/>
      <c r="P155" s="6"/>
      <c r="Q155" s="6"/>
      <c r="R155" s="6"/>
      <c r="S155" s="6"/>
      <c r="T155" s="6"/>
      <c r="U155" s="6"/>
      <c r="V155" s="6"/>
      <c r="W155" s="6"/>
      <c r="X155" s="6"/>
      <c r="Y155" s="6"/>
      <c r="Z155" s="8">
        <v>20</v>
      </c>
      <c r="AA155" s="8">
        <v>20</v>
      </c>
      <c r="AB155" s="6"/>
      <c r="AC155" s="6"/>
      <c r="AD155" s="6"/>
      <c r="AE155" s="6"/>
      <c r="AF155" s="6"/>
      <c r="AG155" s="6"/>
      <c r="AH155" s="6"/>
      <c r="AI155" s="6"/>
      <c r="AJ155" s="8">
        <v>2</v>
      </c>
      <c r="AK155" s="8">
        <v>3</v>
      </c>
      <c r="AL155" s="8">
        <v>1</v>
      </c>
      <c r="AM155" s="6"/>
      <c r="AN155" s="6"/>
      <c r="AO155" s="6"/>
      <c r="AP155" s="8">
        <v>6</v>
      </c>
      <c r="AQ155" s="6"/>
      <c r="AR155" s="6"/>
      <c r="AS155" s="6"/>
      <c r="AT155" s="6"/>
      <c r="AU155" s="8">
        <v>0.5</v>
      </c>
      <c r="AV155" s="8">
        <v>0.5</v>
      </c>
      <c r="AW155" s="6"/>
      <c r="AX155" s="6"/>
      <c r="AY155" s="6"/>
      <c r="AZ155" s="6"/>
      <c r="BA155" s="8">
        <v>0</v>
      </c>
      <c r="BB155" s="8">
        <v>0</v>
      </c>
      <c r="BC155" s="8">
        <v>0.5</v>
      </c>
      <c r="BD155" s="8">
        <v>0.5</v>
      </c>
      <c r="BE155" s="8">
        <v>0.5</v>
      </c>
      <c r="BF155" s="6"/>
      <c r="BG155" s="8">
        <v>0.5</v>
      </c>
      <c r="BH155" s="6"/>
      <c r="BI155" s="6"/>
      <c r="BJ155" s="6"/>
      <c r="BK155" s="6"/>
      <c r="BL155" s="8">
        <v>31.5</v>
      </c>
      <c r="BM155" s="6"/>
      <c r="BN155" s="6"/>
      <c r="BO155" s="8">
        <v>0</v>
      </c>
      <c r="BP155" s="6"/>
      <c r="BQ155" s="6"/>
      <c r="BR155" s="8">
        <v>0</v>
      </c>
      <c r="BS155" s="8">
        <v>0</v>
      </c>
      <c r="BT155" s="6"/>
      <c r="BU155" s="6"/>
      <c r="BV155" s="6"/>
      <c r="BW155" s="6"/>
      <c r="BX155" s="6"/>
      <c r="BY155" s="6"/>
      <c r="BZ155" s="6"/>
      <c r="CA155" s="6"/>
      <c r="CB155" s="6"/>
      <c r="CC155" s="6"/>
      <c r="CD155" s="6"/>
      <c r="CE155" s="6"/>
      <c r="CF155" s="6"/>
      <c r="CG155" s="9">
        <v>31.5</v>
      </c>
    </row>
    <row r="156" spans="1:85" x14ac:dyDescent="0.3">
      <c r="A156" s="3" t="str">
        <f t="shared" si="4"/>
        <v>NON ADDCross-Foundation ActivitiesAdvanced WirelessTotal</v>
      </c>
      <c r="B156" s="6" t="s">
        <v>223</v>
      </c>
      <c r="C156" s="6" t="s">
        <v>224</v>
      </c>
      <c r="D156" s="6" t="s">
        <v>228</v>
      </c>
      <c r="E156" s="6" t="s">
        <v>24</v>
      </c>
      <c r="F156" s="6"/>
      <c r="G156" s="6"/>
      <c r="H156" s="6"/>
      <c r="I156" s="6"/>
      <c r="J156" s="6"/>
      <c r="K156" s="6"/>
      <c r="L156" s="6"/>
      <c r="M156" s="6"/>
      <c r="N156" s="6"/>
      <c r="O156" s="6"/>
      <c r="P156" s="6"/>
      <c r="Q156" s="6"/>
      <c r="R156" s="8">
        <v>88.76</v>
      </c>
      <c r="S156" s="8">
        <v>88.76</v>
      </c>
      <c r="T156" s="6"/>
      <c r="U156" s="6"/>
      <c r="V156" s="6"/>
      <c r="W156" s="6"/>
      <c r="X156" s="6"/>
      <c r="Y156" s="6"/>
      <c r="Z156" s="8">
        <v>25</v>
      </c>
      <c r="AA156" s="8">
        <v>25</v>
      </c>
      <c r="AB156" s="6"/>
      <c r="AC156" s="6"/>
      <c r="AD156" s="6"/>
      <c r="AE156" s="6"/>
      <c r="AF156" s="6"/>
      <c r="AG156" s="6"/>
      <c r="AH156" s="6"/>
      <c r="AI156" s="6"/>
      <c r="AJ156" s="6"/>
      <c r="AK156" s="6"/>
      <c r="AL156" s="6"/>
      <c r="AM156" s="8">
        <v>17</v>
      </c>
      <c r="AN156" s="6"/>
      <c r="AO156" s="6"/>
      <c r="AP156" s="8">
        <v>17</v>
      </c>
      <c r="AQ156" s="6"/>
      <c r="AR156" s="6"/>
      <c r="AS156" s="6"/>
      <c r="AT156" s="6"/>
      <c r="AU156" s="6"/>
      <c r="AV156" s="6"/>
      <c r="AW156" s="6"/>
      <c r="AX156" s="6"/>
      <c r="AY156" s="6"/>
      <c r="AZ156" s="6"/>
      <c r="BA156" s="8">
        <v>1</v>
      </c>
      <c r="BB156" s="8">
        <v>1</v>
      </c>
      <c r="BC156" s="6"/>
      <c r="BD156" s="6"/>
      <c r="BE156" s="6"/>
      <c r="BF156" s="6"/>
      <c r="BG156" s="6"/>
      <c r="BH156" s="6"/>
      <c r="BI156" s="6"/>
      <c r="BJ156" s="6"/>
      <c r="BK156" s="6"/>
      <c r="BL156" s="8">
        <v>131.76</v>
      </c>
      <c r="BM156" s="6"/>
      <c r="BN156" s="6"/>
      <c r="BO156" s="6"/>
      <c r="BP156" s="6"/>
      <c r="BQ156" s="6"/>
      <c r="BR156" s="6"/>
      <c r="BS156" s="6"/>
      <c r="BT156" s="6"/>
      <c r="BU156" s="6"/>
      <c r="BV156" s="6"/>
      <c r="BW156" s="6"/>
      <c r="BX156" s="6"/>
      <c r="BY156" s="6"/>
      <c r="BZ156" s="6"/>
      <c r="CA156" s="6"/>
      <c r="CB156" s="6"/>
      <c r="CC156" s="6"/>
      <c r="CD156" s="6"/>
      <c r="CE156" s="6"/>
      <c r="CF156" s="6"/>
      <c r="CG156" s="9">
        <v>131.76</v>
      </c>
    </row>
    <row r="157" spans="1:85" x14ac:dyDescent="0.3">
      <c r="A157" s="3" t="str">
        <f t="shared" si="4"/>
        <v>NON ADDCross-Foundation ActivitiesArtificial Intelligence (AI)Total</v>
      </c>
      <c r="B157" s="6" t="s">
        <v>223</v>
      </c>
      <c r="C157" s="6" t="s">
        <v>224</v>
      </c>
      <c r="D157" s="6" t="s">
        <v>229</v>
      </c>
      <c r="E157" s="6" t="s">
        <v>24</v>
      </c>
      <c r="F157" s="6"/>
      <c r="G157" s="6"/>
      <c r="H157" s="6"/>
      <c r="I157" s="6"/>
      <c r="J157" s="6"/>
      <c r="K157" s="8">
        <v>20</v>
      </c>
      <c r="L157" s="8">
        <v>20</v>
      </c>
      <c r="M157" s="6"/>
      <c r="N157" s="6"/>
      <c r="O157" s="6"/>
      <c r="P157" s="6"/>
      <c r="Q157" s="6"/>
      <c r="R157" s="8">
        <v>344</v>
      </c>
      <c r="S157" s="8">
        <v>344</v>
      </c>
      <c r="T157" s="6"/>
      <c r="U157" s="6"/>
      <c r="V157" s="6"/>
      <c r="W157" s="6"/>
      <c r="X157" s="6"/>
      <c r="Y157" s="6"/>
      <c r="Z157" s="8">
        <v>87.6</v>
      </c>
      <c r="AA157" s="8">
        <v>87.6</v>
      </c>
      <c r="AB157" s="6"/>
      <c r="AC157" s="6"/>
      <c r="AD157" s="6"/>
      <c r="AE157" s="6"/>
      <c r="AF157" s="6"/>
      <c r="AG157" s="8">
        <v>5</v>
      </c>
      <c r="AH157" s="8">
        <v>5</v>
      </c>
      <c r="AI157" s="8">
        <v>2</v>
      </c>
      <c r="AJ157" s="8">
        <v>10</v>
      </c>
      <c r="AK157" s="8">
        <v>23</v>
      </c>
      <c r="AL157" s="8">
        <v>18</v>
      </c>
      <c r="AM157" s="8">
        <v>1.5</v>
      </c>
      <c r="AN157" s="8">
        <v>20.71</v>
      </c>
      <c r="AO157" s="6"/>
      <c r="AP157" s="8">
        <v>75.209999999999994</v>
      </c>
      <c r="AQ157" s="6"/>
      <c r="AR157" s="6"/>
      <c r="AS157" s="6"/>
      <c r="AT157" s="6"/>
      <c r="AU157" s="8">
        <v>16.420000000000002</v>
      </c>
      <c r="AV157" s="8">
        <v>16.420000000000002</v>
      </c>
      <c r="AW157" s="6"/>
      <c r="AX157" s="6"/>
      <c r="AY157" s="6"/>
      <c r="AZ157" s="6"/>
      <c r="BA157" s="8">
        <v>100</v>
      </c>
      <c r="BB157" s="8">
        <v>100</v>
      </c>
      <c r="BC157" s="6"/>
      <c r="BD157" s="6"/>
      <c r="BE157" s="8">
        <v>1</v>
      </c>
      <c r="BF157" s="6"/>
      <c r="BG157" s="8">
        <v>1</v>
      </c>
      <c r="BH157" s="6"/>
      <c r="BI157" s="6"/>
      <c r="BJ157" s="6"/>
      <c r="BK157" s="6"/>
      <c r="BL157" s="8">
        <v>649.23</v>
      </c>
      <c r="BM157" s="6"/>
      <c r="BN157" s="6"/>
      <c r="BO157" s="6"/>
      <c r="BP157" s="6"/>
      <c r="BQ157" s="8">
        <v>30</v>
      </c>
      <c r="BR157" s="8">
        <v>30</v>
      </c>
      <c r="BS157" s="8">
        <v>30</v>
      </c>
      <c r="BT157" s="6"/>
      <c r="BU157" s="6"/>
      <c r="BV157" s="6"/>
      <c r="BW157" s="6"/>
      <c r="BX157" s="6"/>
      <c r="BY157" s="6"/>
      <c r="BZ157" s="6"/>
      <c r="CA157" s="6"/>
      <c r="CB157" s="6"/>
      <c r="CC157" s="6"/>
      <c r="CD157" s="6"/>
      <c r="CE157" s="6"/>
      <c r="CF157" s="6"/>
      <c r="CG157" s="9">
        <v>679.23</v>
      </c>
    </row>
    <row r="158" spans="1:85" x14ac:dyDescent="0.3">
      <c r="A158" s="3" t="str">
        <f t="shared" si="4"/>
        <v>NON ADDCross-Foundation ActivitiesBioeconomyTotal</v>
      </c>
      <c r="B158" s="6" t="s">
        <v>223</v>
      </c>
      <c r="C158" s="6" t="s">
        <v>224</v>
      </c>
      <c r="D158" s="6" t="s">
        <v>230</v>
      </c>
      <c r="E158" s="6" t="s">
        <v>24</v>
      </c>
      <c r="F158" s="6"/>
      <c r="G158" s="6"/>
      <c r="H158" s="6"/>
      <c r="I158" s="6"/>
      <c r="J158" s="6"/>
      <c r="K158" s="6"/>
      <c r="L158" s="6"/>
      <c r="M158" s="6"/>
      <c r="N158" s="6"/>
      <c r="O158" s="6"/>
      <c r="P158" s="6"/>
      <c r="Q158" s="6"/>
      <c r="R158" s="6"/>
      <c r="S158" s="6"/>
      <c r="T158" s="6"/>
      <c r="U158" s="6"/>
      <c r="V158" s="6"/>
      <c r="W158" s="6"/>
      <c r="X158" s="6"/>
      <c r="Y158" s="6"/>
      <c r="Z158" s="8">
        <v>91</v>
      </c>
      <c r="AA158" s="8">
        <v>91</v>
      </c>
      <c r="AB158" s="6"/>
      <c r="AC158" s="6"/>
      <c r="AD158" s="6"/>
      <c r="AE158" s="6"/>
      <c r="AF158" s="6"/>
      <c r="AG158" s="6"/>
      <c r="AH158" s="6"/>
      <c r="AI158" s="6"/>
      <c r="AJ158" s="8">
        <v>0</v>
      </c>
      <c r="AK158" s="8">
        <v>0</v>
      </c>
      <c r="AL158" s="6"/>
      <c r="AM158" s="6"/>
      <c r="AN158" s="8">
        <v>0</v>
      </c>
      <c r="AO158" s="6"/>
      <c r="AP158" s="8">
        <v>0</v>
      </c>
      <c r="AQ158" s="6"/>
      <c r="AR158" s="6"/>
      <c r="AS158" s="6"/>
      <c r="AT158" s="6"/>
      <c r="AU158" s="8">
        <v>1.5</v>
      </c>
      <c r="AV158" s="8">
        <v>1.5</v>
      </c>
      <c r="AW158" s="6"/>
      <c r="AX158" s="6"/>
      <c r="AY158" s="6"/>
      <c r="AZ158" s="6"/>
      <c r="BA158" s="6"/>
      <c r="BB158" s="6"/>
      <c r="BC158" s="6"/>
      <c r="BD158" s="6"/>
      <c r="BE158" s="8">
        <v>1</v>
      </c>
      <c r="BF158" s="6"/>
      <c r="BG158" s="8">
        <v>1</v>
      </c>
      <c r="BH158" s="6"/>
      <c r="BI158" s="6"/>
      <c r="BJ158" s="6"/>
      <c r="BK158" s="6"/>
      <c r="BL158" s="8">
        <v>93.5</v>
      </c>
      <c r="BM158" s="6"/>
      <c r="BN158" s="6"/>
      <c r="BO158" s="6"/>
      <c r="BP158" s="6"/>
      <c r="BQ158" s="6"/>
      <c r="BR158" s="6"/>
      <c r="BS158" s="6"/>
      <c r="BT158" s="6"/>
      <c r="BU158" s="6"/>
      <c r="BV158" s="6"/>
      <c r="BW158" s="6"/>
      <c r="BX158" s="6"/>
      <c r="BY158" s="6"/>
      <c r="BZ158" s="6"/>
      <c r="CA158" s="6"/>
      <c r="CB158" s="6"/>
      <c r="CC158" s="6"/>
      <c r="CD158" s="6"/>
      <c r="CE158" s="6"/>
      <c r="CF158" s="6"/>
      <c r="CG158" s="9">
        <v>93.5</v>
      </c>
    </row>
    <row r="159" spans="1:85" x14ac:dyDescent="0.3">
      <c r="A159" s="3" t="str">
        <f t="shared" si="4"/>
        <v>NON ADDCross-Foundation ActivitiesBiotechnologyTotal</v>
      </c>
      <c r="B159" s="6" t="s">
        <v>223</v>
      </c>
      <c r="C159" s="6" t="s">
        <v>224</v>
      </c>
      <c r="D159" s="6" t="s">
        <v>231</v>
      </c>
      <c r="E159" s="6" t="s">
        <v>24</v>
      </c>
      <c r="F159" s="6"/>
      <c r="G159" s="6"/>
      <c r="H159" s="6"/>
      <c r="I159" s="6"/>
      <c r="J159" s="6"/>
      <c r="K159" s="8">
        <v>118</v>
      </c>
      <c r="L159" s="8">
        <v>118</v>
      </c>
      <c r="M159" s="6"/>
      <c r="N159" s="6"/>
      <c r="O159" s="6"/>
      <c r="P159" s="6"/>
      <c r="Q159" s="6"/>
      <c r="R159" s="8">
        <v>6.92</v>
      </c>
      <c r="S159" s="8">
        <v>6.92</v>
      </c>
      <c r="T159" s="6"/>
      <c r="U159" s="6"/>
      <c r="V159" s="6"/>
      <c r="W159" s="6"/>
      <c r="X159" s="6"/>
      <c r="Y159" s="6"/>
      <c r="Z159" s="8">
        <v>91</v>
      </c>
      <c r="AA159" s="8">
        <v>91</v>
      </c>
      <c r="AB159" s="6"/>
      <c r="AC159" s="6"/>
      <c r="AD159" s="6"/>
      <c r="AE159" s="8">
        <v>1.6</v>
      </c>
      <c r="AF159" s="6"/>
      <c r="AG159" s="8">
        <v>10</v>
      </c>
      <c r="AH159" s="8">
        <v>11.6</v>
      </c>
      <c r="AI159" s="6"/>
      <c r="AJ159" s="8">
        <v>30</v>
      </c>
      <c r="AK159" s="8">
        <v>25</v>
      </c>
      <c r="AL159" s="6"/>
      <c r="AM159" s="6"/>
      <c r="AN159" s="8">
        <v>7.2</v>
      </c>
      <c r="AO159" s="6"/>
      <c r="AP159" s="8">
        <v>62.2</v>
      </c>
      <c r="AQ159" s="6"/>
      <c r="AR159" s="6"/>
      <c r="AS159" s="6"/>
      <c r="AT159" s="6"/>
      <c r="AU159" s="8">
        <v>1.5</v>
      </c>
      <c r="AV159" s="8">
        <v>1.5</v>
      </c>
      <c r="AW159" s="6"/>
      <c r="AX159" s="6"/>
      <c r="AY159" s="6"/>
      <c r="AZ159" s="6"/>
      <c r="BA159" s="8">
        <v>14</v>
      </c>
      <c r="BB159" s="8">
        <v>14</v>
      </c>
      <c r="BC159" s="6"/>
      <c r="BD159" s="6"/>
      <c r="BE159" s="8">
        <v>1</v>
      </c>
      <c r="BF159" s="6"/>
      <c r="BG159" s="8">
        <v>1</v>
      </c>
      <c r="BH159" s="6"/>
      <c r="BI159" s="6"/>
      <c r="BJ159" s="6"/>
      <c r="BK159" s="6"/>
      <c r="BL159" s="8">
        <v>306.22000000000003</v>
      </c>
      <c r="BM159" s="6"/>
      <c r="BN159" s="6"/>
      <c r="BO159" s="6"/>
      <c r="BP159" s="6"/>
      <c r="BQ159" s="8">
        <v>9</v>
      </c>
      <c r="BR159" s="8">
        <v>9</v>
      </c>
      <c r="BS159" s="8">
        <v>9</v>
      </c>
      <c r="BT159" s="6"/>
      <c r="BU159" s="6"/>
      <c r="BV159" s="6"/>
      <c r="BW159" s="6"/>
      <c r="BX159" s="6"/>
      <c r="BY159" s="6"/>
      <c r="BZ159" s="6"/>
      <c r="CA159" s="6"/>
      <c r="CB159" s="6"/>
      <c r="CC159" s="6"/>
      <c r="CD159" s="6"/>
      <c r="CE159" s="6"/>
      <c r="CF159" s="6"/>
      <c r="CG159" s="9">
        <v>315.22000000000003</v>
      </c>
    </row>
    <row r="160" spans="1:85" x14ac:dyDescent="0.3">
      <c r="A160" s="3" t="str">
        <f t="shared" si="4"/>
        <v>NON ADDCross-Foundation ActivitiesBrain Research through Advancing Innovative Neurotechnologies (BRAIN) InitiativeTotal</v>
      </c>
      <c r="B160" s="6" t="s">
        <v>223</v>
      </c>
      <c r="C160" s="6" t="s">
        <v>224</v>
      </c>
      <c r="D160" s="6" t="s">
        <v>232</v>
      </c>
      <c r="E160" s="6" t="s">
        <v>24</v>
      </c>
      <c r="F160" s="6"/>
      <c r="G160" s="6"/>
      <c r="H160" s="6"/>
      <c r="I160" s="6"/>
      <c r="J160" s="6"/>
      <c r="K160" s="8">
        <v>0</v>
      </c>
      <c r="L160" s="8">
        <v>0</v>
      </c>
      <c r="M160" s="6"/>
      <c r="N160" s="6"/>
      <c r="O160" s="6"/>
      <c r="P160" s="6"/>
      <c r="Q160" s="6"/>
      <c r="R160" s="8">
        <v>10.53</v>
      </c>
      <c r="S160" s="8">
        <v>10.53</v>
      </c>
      <c r="T160" s="6"/>
      <c r="U160" s="6"/>
      <c r="V160" s="6"/>
      <c r="W160" s="6"/>
      <c r="X160" s="6"/>
      <c r="Y160" s="6"/>
      <c r="Z160" s="8">
        <v>9.4</v>
      </c>
      <c r="AA160" s="8">
        <v>9.4</v>
      </c>
      <c r="AB160" s="6"/>
      <c r="AC160" s="6"/>
      <c r="AD160" s="6"/>
      <c r="AE160" s="6"/>
      <c r="AF160" s="6"/>
      <c r="AG160" s="6"/>
      <c r="AH160" s="6"/>
      <c r="AI160" s="6"/>
      <c r="AJ160" s="8">
        <v>2.5</v>
      </c>
      <c r="AK160" s="8">
        <v>3</v>
      </c>
      <c r="AL160" s="8">
        <v>3</v>
      </c>
      <c r="AM160" s="8">
        <v>0</v>
      </c>
      <c r="AN160" s="8">
        <v>2</v>
      </c>
      <c r="AO160" s="6"/>
      <c r="AP160" s="8">
        <v>10.5</v>
      </c>
      <c r="AQ160" s="8">
        <v>0</v>
      </c>
      <c r="AR160" s="6"/>
      <c r="AS160" s="8">
        <v>0</v>
      </c>
      <c r="AT160" s="6"/>
      <c r="AU160" s="8">
        <v>6.17</v>
      </c>
      <c r="AV160" s="8">
        <v>6.17</v>
      </c>
      <c r="AW160" s="6"/>
      <c r="AX160" s="6"/>
      <c r="AY160" s="6"/>
      <c r="AZ160" s="6"/>
      <c r="BA160" s="8">
        <v>8.8000000000000007</v>
      </c>
      <c r="BB160" s="8">
        <v>8.8000000000000007</v>
      </c>
      <c r="BC160" s="6"/>
      <c r="BD160" s="6"/>
      <c r="BE160" s="6"/>
      <c r="BF160" s="6"/>
      <c r="BG160" s="6"/>
      <c r="BH160" s="6"/>
      <c r="BI160" s="6"/>
      <c r="BJ160" s="6"/>
      <c r="BK160" s="6"/>
      <c r="BL160" s="8">
        <v>45.4</v>
      </c>
      <c r="BM160" s="8">
        <v>0</v>
      </c>
      <c r="BN160" s="8">
        <v>2</v>
      </c>
      <c r="BO160" s="6"/>
      <c r="BP160" s="6"/>
      <c r="BQ160" s="6"/>
      <c r="BR160" s="8">
        <v>2</v>
      </c>
      <c r="BS160" s="8">
        <v>2</v>
      </c>
      <c r="BT160" s="6"/>
      <c r="BU160" s="6"/>
      <c r="BV160" s="6"/>
      <c r="BW160" s="6"/>
      <c r="BX160" s="6"/>
      <c r="BY160" s="6"/>
      <c r="BZ160" s="6"/>
      <c r="CA160" s="6"/>
      <c r="CB160" s="6"/>
      <c r="CC160" s="6"/>
      <c r="CD160" s="6"/>
      <c r="CE160" s="6"/>
      <c r="CF160" s="6"/>
      <c r="CG160" s="9">
        <v>47.4</v>
      </c>
    </row>
    <row r="161" spans="1:85" x14ac:dyDescent="0.3">
      <c r="A161" s="3" t="str">
        <f t="shared" si="4"/>
        <v>NON ADDCross-Foundation ActivitiesClean Energy TechnologyTotal</v>
      </c>
      <c r="B161" s="6" t="s">
        <v>223</v>
      </c>
      <c r="C161" s="6" t="s">
        <v>224</v>
      </c>
      <c r="D161" s="6" t="s">
        <v>233</v>
      </c>
      <c r="E161" s="6" t="s">
        <v>24</v>
      </c>
      <c r="F161" s="6"/>
      <c r="G161" s="6"/>
      <c r="H161" s="6"/>
      <c r="I161" s="6"/>
      <c r="J161" s="6"/>
      <c r="K161" s="8">
        <v>50</v>
      </c>
      <c r="L161" s="8">
        <v>50</v>
      </c>
      <c r="M161" s="6"/>
      <c r="N161" s="6"/>
      <c r="O161" s="6"/>
      <c r="P161" s="6"/>
      <c r="Q161" s="6"/>
      <c r="R161" s="8">
        <v>29.22</v>
      </c>
      <c r="S161" s="8">
        <v>29.22</v>
      </c>
      <c r="T161" s="6"/>
      <c r="U161" s="6"/>
      <c r="V161" s="6"/>
      <c r="W161" s="6"/>
      <c r="X161" s="6"/>
      <c r="Y161" s="6"/>
      <c r="Z161" s="8">
        <v>148</v>
      </c>
      <c r="AA161" s="8">
        <v>148</v>
      </c>
      <c r="AB161" s="6"/>
      <c r="AC161" s="6"/>
      <c r="AD161" s="6"/>
      <c r="AE161" s="6"/>
      <c r="AF161" s="6"/>
      <c r="AG161" s="6"/>
      <c r="AH161" s="6"/>
      <c r="AI161" s="6"/>
      <c r="AJ161" s="8">
        <v>50</v>
      </c>
      <c r="AK161" s="8">
        <v>49.14</v>
      </c>
      <c r="AL161" s="8">
        <v>1</v>
      </c>
      <c r="AM161" s="8">
        <v>2</v>
      </c>
      <c r="AN161" s="8">
        <v>4.6900000000000004</v>
      </c>
      <c r="AO161" s="8">
        <v>0</v>
      </c>
      <c r="AP161" s="8">
        <v>106.83</v>
      </c>
      <c r="AQ161" s="6"/>
      <c r="AR161" s="6"/>
      <c r="AS161" s="6"/>
      <c r="AT161" s="6"/>
      <c r="AU161" s="6"/>
      <c r="AV161" s="6"/>
      <c r="AW161" s="6"/>
      <c r="AX161" s="6"/>
      <c r="AY161" s="6"/>
      <c r="AZ161" s="6"/>
      <c r="BA161" s="8">
        <v>45</v>
      </c>
      <c r="BB161" s="8">
        <v>45</v>
      </c>
      <c r="BC161" s="8">
        <v>5</v>
      </c>
      <c r="BD161" s="8">
        <v>5</v>
      </c>
      <c r="BE161" s="8">
        <v>0</v>
      </c>
      <c r="BF161" s="6"/>
      <c r="BG161" s="8">
        <v>0</v>
      </c>
      <c r="BH161" s="6"/>
      <c r="BI161" s="6"/>
      <c r="BJ161" s="6"/>
      <c r="BK161" s="6"/>
      <c r="BL161" s="8">
        <v>384.05</v>
      </c>
      <c r="BM161" s="6"/>
      <c r="BN161" s="6"/>
      <c r="BO161" s="6"/>
      <c r="BP161" s="6"/>
      <c r="BQ161" s="6"/>
      <c r="BR161" s="6"/>
      <c r="BS161" s="6"/>
      <c r="BT161" s="6"/>
      <c r="BU161" s="6"/>
      <c r="BV161" s="6"/>
      <c r="BW161" s="6"/>
      <c r="BX161" s="6"/>
      <c r="BY161" s="6"/>
      <c r="BZ161" s="6"/>
      <c r="CA161" s="6"/>
      <c r="CB161" s="6"/>
      <c r="CC161" s="6"/>
      <c r="CD161" s="6"/>
      <c r="CE161" s="6"/>
      <c r="CF161" s="6"/>
      <c r="CG161" s="9">
        <v>384.05</v>
      </c>
    </row>
    <row r="162" spans="1:85" x14ac:dyDescent="0.3">
      <c r="A162" s="3" t="str">
        <f t="shared" si="4"/>
        <v>NON ADDCross-Foundation ActivitiesCoastlines and People (CoPE)Total</v>
      </c>
      <c r="B162" s="6" t="s">
        <v>223</v>
      </c>
      <c r="C162" s="6" t="s">
        <v>224</v>
      </c>
      <c r="D162" s="6" t="s">
        <v>234</v>
      </c>
      <c r="E162" s="6" t="s">
        <v>24</v>
      </c>
      <c r="F162" s="6"/>
      <c r="G162" s="6"/>
      <c r="H162" s="6"/>
      <c r="I162" s="6"/>
      <c r="J162" s="6"/>
      <c r="K162" s="8">
        <v>1</v>
      </c>
      <c r="L162" s="8">
        <v>1</v>
      </c>
      <c r="M162" s="6"/>
      <c r="N162" s="6"/>
      <c r="O162" s="6"/>
      <c r="P162" s="6"/>
      <c r="Q162" s="6"/>
      <c r="R162" s="6"/>
      <c r="S162" s="6"/>
      <c r="T162" s="6"/>
      <c r="U162" s="6"/>
      <c r="V162" s="6"/>
      <c r="W162" s="6"/>
      <c r="X162" s="6"/>
      <c r="Y162" s="6"/>
      <c r="Z162" s="8">
        <v>1.5</v>
      </c>
      <c r="AA162" s="8">
        <v>1.5</v>
      </c>
      <c r="AB162" s="6"/>
      <c r="AC162" s="6"/>
      <c r="AD162" s="6"/>
      <c r="AE162" s="6"/>
      <c r="AF162" s="6"/>
      <c r="AG162" s="8">
        <v>15</v>
      </c>
      <c r="AH162" s="8">
        <v>15</v>
      </c>
      <c r="AI162" s="6"/>
      <c r="AJ162" s="6"/>
      <c r="AK162" s="6"/>
      <c r="AL162" s="6"/>
      <c r="AM162" s="6"/>
      <c r="AN162" s="6"/>
      <c r="AO162" s="6"/>
      <c r="AP162" s="6"/>
      <c r="AQ162" s="6"/>
      <c r="AR162" s="6"/>
      <c r="AS162" s="6"/>
      <c r="AT162" s="6"/>
      <c r="AU162" s="8">
        <v>1.5</v>
      </c>
      <c r="AV162" s="8">
        <v>1.5</v>
      </c>
      <c r="AW162" s="6"/>
      <c r="AX162" s="6"/>
      <c r="AY162" s="6"/>
      <c r="AZ162" s="6"/>
      <c r="BA162" s="6"/>
      <c r="BB162" s="6"/>
      <c r="BC162" s="6"/>
      <c r="BD162" s="6"/>
      <c r="BE162" s="6"/>
      <c r="BF162" s="6"/>
      <c r="BG162" s="6"/>
      <c r="BH162" s="6"/>
      <c r="BI162" s="6"/>
      <c r="BJ162" s="6"/>
      <c r="BK162" s="6"/>
      <c r="BL162" s="8">
        <v>19</v>
      </c>
      <c r="BM162" s="6"/>
      <c r="BN162" s="6"/>
      <c r="BO162" s="6"/>
      <c r="BP162" s="6"/>
      <c r="BQ162" s="6"/>
      <c r="BR162" s="6"/>
      <c r="BS162" s="6"/>
      <c r="BT162" s="6"/>
      <c r="BU162" s="6"/>
      <c r="BV162" s="6"/>
      <c r="BW162" s="6"/>
      <c r="BX162" s="6"/>
      <c r="BY162" s="6"/>
      <c r="BZ162" s="6"/>
      <c r="CA162" s="6"/>
      <c r="CB162" s="6"/>
      <c r="CC162" s="6"/>
      <c r="CD162" s="6"/>
      <c r="CE162" s="6"/>
      <c r="CF162" s="6"/>
      <c r="CG162" s="9">
        <v>19</v>
      </c>
    </row>
    <row r="163" spans="1:85" x14ac:dyDescent="0.3">
      <c r="A163" s="3" t="str">
        <f t="shared" si="4"/>
        <v>NON ADDCross-Foundation ActivitiesHarnessing the Data Revolution (HDR) - TotalTotal</v>
      </c>
      <c r="B163" s="6" t="s">
        <v>223</v>
      </c>
      <c r="C163" s="6" t="s">
        <v>224</v>
      </c>
      <c r="D163" s="6" t="s">
        <v>235</v>
      </c>
      <c r="E163" s="6" t="s">
        <v>24</v>
      </c>
      <c r="F163" s="6"/>
      <c r="G163" s="6"/>
      <c r="H163" s="6"/>
      <c r="I163" s="6"/>
      <c r="J163" s="6"/>
      <c r="K163" s="8">
        <v>7.41</v>
      </c>
      <c r="L163" s="8">
        <v>7.41</v>
      </c>
      <c r="M163" s="6"/>
      <c r="N163" s="6"/>
      <c r="O163" s="6"/>
      <c r="P163" s="6"/>
      <c r="Q163" s="6"/>
      <c r="R163" s="8">
        <v>80.58</v>
      </c>
      <c r="S163" s="8">
        <v>80.58</v>
      </c>
      <c r="T163" s="6"/>
      <c r="U163" s="6"/>
      <c r="V163" s="6"/>
      <c r="W163" s="6"/>
      <c r="X163" s="6"/>
      <c r="Y163" s="6"/>
      <c r="Z163" s="8">
        <v>12.75</v>
      </c>
      <c r="AA163" s="8">
        <v>12.75</v>
      </c>
      <c r="AB163" s="6"/>
      <c r="AC163" s="6"/>
      <c r="AD163" s="6"/>
      <c r="AE163" s="8">
        <v>1</v>
      </c>
      <c r="AF163" s="6"/>
      <c r="AG163" s="8">
        <v>5.6</v>
      </c>
      <c r="AH163" s="8">
        <v>6.6</v>
      </c>
      <c r="AI163" s="8">
        <v>2</v>
      </c>
      <c r="AJ163" s="8">
        <v>8</v>
      </c>
      <c r="AK163" s="8">
        <v>3.4</v>
      </c>
      <c r="AL163" s="8">
        <v>5.5</v>
      </c>
      <c r="AM163" s="8">
        <v>0</v>
      </c>
      <c r="AN163" s="8">
        <v>2</v>
      </c>
      <c r="AO163" s="8">
        <v>0</v>
      </c>
      <c r="AP163" s="8">
        <v>20.9</v>
      </c>
      <c r="AQ163" s="6"/>
      <c r="AR163" s="6"/>
      <c r="AS163" s="6"/>
      <c r="AT163" s="6"/>
      <c r="AU163" s="8">
        <v>7.25</v>
      </c>
      <c r="AV163" s="8">
        <v>7.25</v>
      </c>
      <c r="AW163" s="6"/>
      <c r="AX163" s="6"/>
      <c r="AY163" s="6"/>
      <c r="AZ163" s="6"/>
      <c r="BA163" s="8">
        <v>10.88</v>
      </c>
      <c r="BB163" s="8">
        <v>10.88</v>
      </c>
      <c r="BC163" s="6"/>
      <c r="BD163" s="6"/>
      <c r="BE163" s="8">
        <v>10</v>
      </c>
      <c r="BF163" s="8">
        <v>0</v>
      </c>
      <c r="BG163" s="8">
        <v>10</v>
      </c>
      <c r="BH163" s="6"/>
      <c r="BI163" s="6"/>
      <c r="BJ163" s="6"/>
      <c r="BK163" s="6"/>
      <c r="BL163" s="8">
        <v>156.37</v>
      </c>
      <c r="BM163" s="6"/>
      <c r="BN163" s="6"/>
      <c r="BO163" s="6"/>
      <c r="BP163" s="6"/>
      <c r="BQ163" s="8">
        <v>2.5</v>
      </c>
      <c r="BR163" s="8">
        <v>2.5</v>
      </c>
      <c r="BS163" s="8">
        <v>2.5</v>
      </c>
      <c r="BT163" s="6"/>
      <c r="BU163" s="6"/>
      <c r="BV163" s="6"/>
      <c r="BW163" s="6"/>
      <c r="BX163" s="6"/>
      <c r="BY163" s="6"/>
      <c r="BZ163" s="6"/>
      <c r="CA163" s="6"/>
      <c r="CB163" s="6"/>
      <c r="CC163" s="6"/>
      <c r="CD163" s="6"/>
      <c r="CE163" s="6"/>
      <c r="CF163" s="6"/>
      <c r="CG163" s="9">
        <v>158.87</v>
      </c>
    </row>
    <row r="164" spans="1:85" x14ac:dyDescent="0.3">
      <c r="A164" s="3" t="str">
        <f t="shared" si="4"/>
        <v>NON ADDCross-Foundation ActivitiesInnovations at the Nexus of Food, Energy, and Water Systems (INFEWS)Total</v>
      </c>
      <c r="B164" s="6" t="s">
        <v>223</v>
      </c>
      <c r="C164" s="6" t="s">
        <v>224</v>
      </c>
      <c r="D164" s="6" t="s">
        <v>236</v>
      </c>
      <c r="E164" s="6" t="s">
        <v>24</v>
      </c>
      <c r="F164" s="6"/>
      <c r="G164" s="6"/>
      <c r="H164" s="6"/>
      <c r="I164" s="6"/>
      <c r="J164" s="6"/>
      <c r="K164" s="6"/>
      <c r="L164" s="6"/>
      <c r="M164" s="6"/>
      <c r="N164" s="6"/>
      <c r="O164" s="6"/>
      <c r="P164" s="6"/>
      <c r="Q164" s="6"/>
      <c r="R164" s="8">
        <v>0</v>
      </c>
      <c r="S164" s="8">
        <v>0</v>
      </c>
      <c r="T164" s="6"/>
      <c r="U164" s="6"/>
      <c r="V164" s="6"/>
      <c r="W164" s="6"/>
      <c r="X164" s="6"/>
      <c r="Y164" s="6"/>
      <c r="Z164" s="8">
        <v>0</v>
      </c>
      <c r="AA164" s="8">
        <v>0</v>
      </c>
      <c r="AB164" s="6"/>
      <c r="AC164" s="6"/>
      <c r="AD164" s="6"/>
      <c r="AE164" s="6"/>
      <c r="AF164" s="8">
        <v>0</v>
      </c>
      <c r="AG164" s="6"/>
      <c r="AH164" s="8">
        <v>0</v>
      </c>
      <c r="AI164" s="6"/>
      <c r="AJ164" s="8">
        <v>0</v>
      </c>
      <c r="AK164" s="8">
        <v>0</v>
      </c>
      <c r="AL164" s="8">
        <v>0</v>
      </c>
      <c r="AM164" s="8">
        <v>0</v>
      </c>
      <c r="AN164" s="6"/>
      <c r="AO164" s="6"/>
      <c r="AP164" s="8">
        <v>0</v>
      </c>
      <c r="AQ164" s="8">
        <v>0</v>
      </c>
      <c r="AR164" s="6"/>
      <c r="AS164" s="6"/>
      <c r="AT164" s="8">
        <v>0</v>
      </c>
      <c r="AU164" s="8">
        <v>0</v>
      </c>
      <c r="AV164" s="8">
        <v>0</v>
      </c>
      <c r="AW164" s="6"/>
      <c r="AX164" s="6"/>
      <c r="AY164" s="6"/>
      <c r="AZ164" s="6"/>
      <c r="BA164" s="6"/>
      <c r="BB164" s="6"/>
      <c r="BC164" s="8">
        <v>0</v>
      </c>
      <c r="BD164" s="8">
        <v>0</v>
      </c>
      <c r="BE164" s="8">
        <v>0</v>
      </c>
      <c r="BF164" s="6"/>
      <c r="BG164" s="8">
        <v>0</v>
      </c>
      <c r="BH164" s="6"/>
      <c r="BI164" s="6"/>
      <c r="BJ164" s="6"/>
      <c r="BK164" s="6"/>
      <c r="BL164" s="8">
        <v>0</v>
      </c>
      <c r="BM164" s="6"/>
      <c r="BN164" s="6"/>
      <c r="BO164" s="6"/>
      <c r="BP164" s="6"/>
      <c r="BQ164" s="6"/>
      <c r="BR164" s="6"/>
      <c r="BS164" s="6"/>
      <c r="BT164" s="6"/>
      <c r="BU164" s="6"/>
      <c r="BV164" s="6"/>
      <c r="BW164" s="6"/>
      <c r="BX164" s="6"/>
      <c r="BY164" s="6"/>
      <c r="BZ164" s="6"/>
      <c r="CA164" s="6"/>
      <c r="CB164" s="6"/>
      <c r="CC164" s="6"/>
      <c r="CD164" s="6"/>
      <c r="CE164" s="6"/>
      <c r="CF164" s="6"/>
      <c r="CG164" s="9">
        <v>0</v>
      </c>
    </row>
    <row r="165" spans="1:85" x14ac:dyDescent="0.3">
      <c r="A165" s="3" t="str">
        <f t="shared" si="4"/>
        <v>NON ADDCross-Foundation ActivitiesMaterials Genome Initiative (MGI)Total</v>
      </c>
      <c r="B165" s="6" t="s">
        <v>223</v>
      </c>
      <c r="C165" s="6" t="s">
        <v>224</v>
      </c>
      <c r="D165" s="6" t="s">
        <v>237</v>
      </c>
      <c r="E165" s="6" t="s">
        <v>24</v>
      </c>
      <c r="F165" s="6"/>
      <c r="G165" s="6"/>
      <c r="H165" s="6"/>
      <c r="I165" s="6"/>
      <c r="J165" s="6"/>
      <c r="K165" s="6"/>
      <c r="L165" s="6"/>
      <c r="M165" s="6"/>
      <c r="N165" s="6"/>
      <c r="O165" s="6"/>
      <c r="P165" s="6"/>
      <c r="Q165" s="6"/>
      <c r="R165" s="6"/>
      <c r="S165" s="6"/>
      <c r="T165" s="6"/>
      <c r="U165" s="6"/>
      <c r="V165" s="6"/>
      <c r="W165" s="6"/>
      <c r="X165" s="6"/>
      <c r="Y165" s="6"/>
      <c r="Z165" s="8">
        <v>2</v>
      </c>
      <c r="AA165" s="8">
        <v>2</v>
      </c>
      <c r="AB165" s="6"/>
      <c r="AC165" s="6"/>
      <c r="AD165" s="6"/>
      <c r="AE165" s="6"/>
      <c r="AF165" s="6"/>
      <c r="AG165" s="6"/>
      <c r="AH165" s="6"/>
      <c r="AI165" s="6"/>
      <c r="AJ165" s="8">
        <v>0.1</v>
      </c>
      <c r="AK165" s="8">
        <v>35</v>
      </c>
      <c r="AL165" s="8">
        <v>1.5</v>
      </c>
      <c r="AM165" s="8">
        <v>0</v>
      </c>
      <c r="AN165" s="6"/>
      <c r="AO165" s="6"/>
      <c r="AP165" s="8">
        <v>36.6</v>
      </c>
      <c r="AQ165" s="6"/>
      <c r="AR165" s="6"/>
      <c r="AS165" s="6"/>
      <c r="AT165" s="6"/>
      <c r="AU165" s="6"/>
      <c r="AV165" s="6"/>
      <c r="AW165" s="6"/>
      <c r="AX165" s="6"/>
      <c r="AY165" s="6"/>
      <c r="AZ165" s="6"/>
      <c r="BA165" s="6"/>
      <c r="BB165" s="6"/>
      <c r="BC165" s="6"/>
      <c r="BD165" s="6"/>
      <c r="BE165" s="6"/>
      <c r="BF165" s="6"/>
      <c r="BG165" s="6"/>
      <c r="BH165" s="6"/>
      <c r="BI165" s="6"/>
      <c r="BJ165" s="6"/>
      <c r="BK165" s="6"/>
      <c r="BL165" s="8">
        <v>38.6</v>
      </c>
      <c r="BM165" s="6"/>
      <c r="BN165" s="6"/>
      <c r="BO165" s="6"/>
      <c r="BP165" s="6"/>
      <c r="BQ165" s="6"/>
      <c r="BR165" s="6"/>
      <c r="BS165" s="6"/>
      <c r="BT165" s="6"/>
      <c r="BU165" s="6"/>
      <c r="BV165" s="6"/>
      <c r="BW165" s="6"/>
      <c r="BX165" s="6"/>
      <c r="BY165" s="6"/>
      <c r="BZ165" s="6"/>
      <c r="CA165" s="6"/>
      <c r="CB165" s="6"/>
      <c r="CC165" s="6"/>
      <c r="CD165" s="6"/>
      <c r="CE165" s="6"/>
      <c r="CF165" s="6"/>
      <c r="CG165" s="9">
        <v>38.6</v>
      </c>
    </row>
    <row r="166" spans="1:85" x14ac:dyDescent="0.3">
      <c r="A166" s="3" t="str">
        <f t="shared" si="4"/>
        <v>NON ADDCross-Foundation ActivitiesMicroelectronics and SemiconductorsTotal</v>
      </c>
      <c r="B166" s="6" t="s">
        <v>223</v>
      </c>
      <c r="C166" s="6" t="s">
        <v>224</v>
      </c>
      <c r="D166" s="6" t="s">
        <v>238</v>
      </c>
      <c r="E166" s="6" t="s">
        <v>24</v>
      </c>
      <c r="F166" s="6"/>
      <c r="G166" s="6"/>
      <c r="H166" s="6"/>
      <c r="I166" s="6"/>
      <c r="J166" s="6"/>
      <c r="K166" s="6"/>
      <c r="L166" s="6"/>
      <c r="M166" s="6"/>
      <c r="N166" s="6"/>
      <c r="O166" s="6"/>
      <c r="P166" s="6"/>
      <c r="Q166" s="6"/>
      <c r="R166" s="8">
        <v>18.46</v>
      </c>
      <c r="S166" s="8">
        <v>18.46</v>
      </c>
      <c r="T166" s="6"/>
      <c r="U166" s="6"/>
      <c r="V166" s="6"/>
      <c r="W166" s="6"/>
      <c r="X166" s="6"/>
      <c r="Y166" s="6"/>
      <c r="Z166" s="8">
        <v>42</v>
      </c>
      <c r="AA166" s="8">
        <v>42</v>
      </c>
      <c r="AB166" s="6"/>
      <c r="AC166" s="6"/>
      <c r="AD166" s="6"/>
      <c r="AE166" s="6"/>
      <c r="AF166" s="6"/>
      <c r="AG166" s="6"/>
      <c r="AH166" s="6"/>
      <c r="AI166" s="6"/>
      <c r="AJ166" s="8">
        <v>5</v>
      </c>
      <c r="AK166" s="8">
        <v>25</v>
      </c>
      <c r="AL166" s="6"/>
      <c r="AM166" s="8">
        <v>1</v>
      </c>
      <c r="AN166" s="6"/>
      <c r="AO166" s="6"/>
      <c r="AP166" s="8">
        <v>31</v>
      </c>
      <c r="AQ166" s="6"/>
      <c r="AR166" s="6"/>
      <c r="AS166" s="6"/>
      <c r="AT166" s="6"/>
      <c r="AU166" s="6"/>
      <c r="AV166" s="6"/>
      <c r="AW166" s="6"/>
      <c r="AX166" s="6"/>
      <c r="AY166" s="6"/>
      <c r="AZ166" s="6"/>
      <c r="BA166" s="8">
        <v>15</v>
      </c>
      <c r="BB166" s="8">
        <v>15</v>
      </c>
      <c r="BC166" s="6"/>
      <c r="BD166" s="6"/>
      <c r="BE166" s="6"/>
      <c r="BF166" s="6"/>
      <c r="BG166" s="6"/>
      <c r="BH166" s="6"/>
      <c r="BI166" s="6"/>
      <c r="BJ166" s="6"/>
      <c r="BK166" s="6"/>
      <c r="BL166" s="8">
        <v>106.46</v>
      </c>
      <c r="BM166" s="6"/>
      <c r="BN166" s="6"/>
      <c r="BO166" s="6"/>
      <c r="BP166" s="6"/>
      <c r="BQ166" s="6"/>
      <c r="BR166" s="6"/>
      <c r="BS166" s="6"/>
      <c r="BT166" s="6"/>
      <c r="BU166" s="6"/>
      <c r="BV166" s="6"/>
      <c r="BW166" s="6"/>
      <c r="BX166" s="6"/>
      <c r="BY166" s="6"/>
      <c r="BZ166" s="6"/>
      <c r="CA166" s="6"/>
      <c r="CB166" s="6"/>
      <c r="CC166" s="6"/>
      <c r="CD166" s="6"/>
      <c r="CE166" s="6"/>
      <c r="CF166" s="6"/>
      <c r="CG166" s="9">
        <v>106.46</v>
      </c>
    </row>
    <row r="167" spans="1:85" x14ac:dyDescent="0.3">
      <c r="A167" s="3" t="str">
        <f t="shared" si="4"/>
        <v>NON ADDCross-Foundation ActivitiesNavigating the New Arctic (NNA) - TotalTotal</v>
      </c>
      <c r="B167" s="6" t="s">
        <v>223</v>
      </c>
      <c r="C167" s="6" t="s">
        <v>224</v>
      </c>
      <c r="D167" s="6" t="s">
        <v>239</v>
      </c>
      <c r="E167" s="6" t="s">
        <v>24</v>
      </c>
      <c r="F167" s="6"/>
      <c r="G167" s="6"/>
      <c r="H167" s="6"/>
      <c r="I167" s="6"/>
      <c r="J167" s="6"/>
      <c r="K167" s="8">
        <v>1.5</v>
      </c>
      <c r="L167" s="8">
        <v>1.5</v>
      </c>
      <c r="M167" s="6"/>
      <c r="N167" s="6"/>
      <c r="O167" s="6"/>
      <c r="P167" s="6"/>
      <c r="Q167" s="6"/>
      <c r="R167" s="6"/>
      <c r="S167" s="6"/>
      <c r="T167" s="6"/>
      <c r="U167" s="6"/>
      <c r="V167" s="6"/>
      <c r="W167" s="6"/>
      <c r="X167" s="6"/>
      <c r="Y167" s="6"/>
      <c r="Z167" s="8">
        <v>0</v>
      </c>
      <c r="AA167" s="8">
        <v>0</v>
      </c>
      <c r="AB167" s="6"/>
      <c r="AC167" s="6"/>
      <c r="AD167" s="6"/>
      <c r="AE167" s="8">
        <v>0</v>
      </c>
      <c r="AF167" s="6"/>
      <c r="AG167" s="8">
        <v>30</v>
      </c>
      <c r="AH167" s="8">
        <v>30</v>
      </c>
      <c r="AI167" s="6"/>
      <c r="AJ167" s="6"/>
      <c r="AK167" s="6"/>
      <c r="AL167" s="6"/>
      <c r="AM167" s="6"/>
      <c r="AN167" s="6"/>
      <c r="AO167" s="6"/>
      <c r="AP167" s="6"/>
      <c r="AQ167" s="6"/>
      <c r="AR167" s="6"/>
      <c r="AS167" s="6"/>
      <c r="AT167" s="6"/>
      <c r="AU167" s="8">
        <v>0.5</v>
      </c>
      <c r="AV167" s="8">
        <v>0.5</v>
      </c>
      <c r="AW167" s="6"/>
      <c r="AX167" s="6"/>
      <c r="AY167" s="6"/>
      <c r="AZ167" s="6"/>
      <c r="BA167" s="6"/>
      <c r="BB167" s="6"/>
      <c r="BC167" s="8">
        <v>0.5</v>
      </c>
      <c r="BD167" s="8">
        <v>0.5</v>
      </c>
      <c r="BE167" s="6"/>
      <c r="BF167" s="6"/>
      <c r="BG167" s="6"/>
      <c r="BH167" s="6"/>
      <c r="BI167" s="6"/>
      <c r="BJ167" s="6"/>
      <c r="BK167" s="6"/>
      <c r="BL167" s="8">
        <v>32.5</v>
      </c>
      <c r="BM167" s="6"/>
      <c r="BN167" s="6"/>
      <c r="BO167" s="6"/>
      <c r="BP167" s="6"/>
      <c r="BQ167" s="8">
        <v>1.2</v>
      </c>
      <c r="BR167" s="8">
        <v>1.2</v>
      </c>
      <c r="BS167" s="8">
        <v>1.2</v>
      </c>
      <c r="BT167" s="6"/>
      <c r="BU167" s="6"/>
      <c r="BV167" s="6"/>
      <c r="BW167" s="6"/>
      <c r="BX167" s="6"/>
      <c r="BY167" s="6"/>
      <c r="BZ167" s="6"/>
      <c r="CA167" s="6"/>
      <c r="CB167" s="6"/>
      <c r="CC167" s="6"/>
      <c r="CD167" s="6"/>
      <c r="CE167" s="6"/>
      <c r="CF167" s="6"/>
      <c r="CG167" s="9">
        <v>33.700000000000003</v>
      </c>
    </row>
    <row r="168" spans="1:85" x14ac:dyDescent="0.3">
      <c r="A168" s="3" t="str">
        <f t="shared" si="4"/>
        <v>NON ADDCross-Foundation ActivitiesQuantum Information Sciences (QIS)Total</v>
      </c>
      <c r="B168" s="6" t="s">
        <v>223</v>
      </c>
      <c r="C168" s="6" t="s">
        <v>224</v>
      </c>
      <c r="D168" s="6" t="s">
        <v>240</v>
      </c>
      <c r="E168" s="6" t="s">
        <v>24</v>
      </c>
      <c r="F168" s="6"/>
      <c r="G168" s="6"/>
      <c r="H168" s="6"/>
      <c r="I168" s="6"/>
      <c r="J168" s="6"/>
      <c r="K168" s="8">
        <v>3.28</v>
      </c>
      <c r="L168" s="8">
        <v>3.28</v>
      </c>
      <c r="M168" s="6"/>
      <c r="N168" s="6"/>
      <c r="O168" s="6"/>
      <c r="P168" s="6"/>
      <c r="Q168" s="6"/>
      <c r="R168" s="8">
        <v>20.7</v>
      </c>
      <c r="S168" s="8">
        <v>20.7</v>
      </c>
      <c r="T168" s="6"/>
      <c r="U168" s="6"/>
      <c r="V168" s="6"/>
      <c r="W168" s="6"/>
      <c r="X168" s="6"/>
      <c r="Y168" s="6"/>
      <c r="Z168" s="8">
        <v>29.5</v>
      </c>
      <c r="AA168" s="8">
        <v>29.5</v>
      </c>
      <c r="AB168" s="6"/>
      <c r="AC168" s="6"/>
      <c r="AD168" s="6"/>
      <c r="AE168" s="6"/>
      <c r="AF168" s="6"/>
      <c r="AG168" s="6"/>
      <c r="AH168" s="6"/>
      <c r="AI168" s="6"/>
      <c r="AJ168" s="8">
        <v>20</v>
      </c>
      <c r="AK168" s="8">
        <v>42</v>
      </c>
      <c r="AL168" s="8">
        <v>5</v>
      </c>
      <c r="AM168" s="8">
        <v>67</v>
      </c>
      <c r="AN168" s="8">
        <v>35</v>
      </c>
      <c r="AO168" s="8">
        <v>0</v>
      </c>
      <c r="AP168" s="8">
        <v>169</v>
      </c>
      <c r="AQ168" s="6"/>
      <c r="AR168" s="6"/>
      <c r="AS168" s="6"/>
      <c r="AT168" s="6"/>
      <c r="AU168" s="6"/>
      <c r="AV168" s="6"/>
      <c r="AW168" s="6"/>
      <c r="AX168" s="6"/>
      <c r="AY168" s="6"/>
      <c r="AZ168" s="6"/>
      <c r="BA168" s="8">
        <v>25</v>
      </c>
      <c r="BB168" s="8">
        <v>25</v>
      </c>
      <c r="BC168" s="8">
        <v>1</v>
      </c>
      <c r="BD168" s="8">
        <v>1</v>
      </c>
      <c r="BE168" s="6"/>
      <c r="BF168" s="6"/>
      <c r="BG168" s="6"/>
      <c r="BH168" s="6"/>
      <c r="BI168" s="6"/>
      <c r="BJ168" s="6"/>
      <c r="BK168" s="6"/>
      <c r="BL168" s="8">
        <v>248.48</v>
      </c>
      <c r="BM168" s="6"/>
      <c r="BN168" s="6"/>
      <c r="BO168" s="6"/>
      <c r="BP168" s="6"/>
      <c r="BQ168" s="8">
        <v>4</v>
      </c>
      <c r="BR168" s="8">
        <v>4</v>
      </c>
      <c r="BS168" s="8">
        <v>4</v>
      </c>
      <c r="BT168" s="6"/>
      <c r="BU168" s="6"/>
      <c r="BV168" s="6"/>
      <c r="BW168" s="6"/>
      <c r="BX168" s="6"/>
      <c r="BY168" s="6"/>
      <c r="BZ168" s="6"/>
      <c r="CA168" s="6"/>
      <c r="CB168" s="6"/>
      <c r="CC168" s="6"/>
      <c r="CD168" s="6"/>
      <c r="CE168" s="6"/>
      <c r="CF168" s="6"/>
      <c r="CG168" s="9">
        <v>252.48</v>
      </c>
    </row>
    <row r="169" spans="1:85" x14ac:dyDescent="0.3">
      <c r="A169" s="3" t="str">
        <f t="shared" si="4"/>
        <v>NON ADDCross-Foundation ActivitiesRisk and ResilienceTotal</v>
      </c>
      <c r="B169" s="6" t="s">
        <v>223</v>
      </c>
      <c r="C169" s="6" t="s">
        <v>224</v>
      </c>
      <c r="D169" s="6" t="s">
        <v>241</v>
      </c>
      <c r="E169" s="6" t="s">
        <v>24</v>
      </c>
      <c r="F169" s="6"/>
      <c r="G169" s="6"/>
      <c r="H169" s="6"/>
      <c r="I169" s="6"/>
      <c r="J169" s="6"/>
      <c r="K169" s="6"/>
      <c r="L169" s="6"/>
      <c r="M169" s="6"/>
      <c r="N169" s="6"/>
      <c r="O169" s="6"/>
      <c r="P169" s="6"/>
      <c r="Q169" s="6"/>
      <c r="R169" s="6"/>
      <c r="S169" s="6"/>
      <c r="T169" s="6"/>
      <c r="U169" s="6"/>
      <c r="V169" s="6"/>
      <c r="W169" s="6"/>
      <c r="X169" s="8">
        <v>0</v>
      </c>
      <c r="Y169" s="6"/>
      <c r="Z169" s="8">
        <v>0</v>
      </c>
      <c r="AA169" s="8">
        <v>0</v>
      </c>
      <c r="AB169" s="6"/>
      <c r="AC169" s="6"/>
      <c r="AD169" s="6"/>
      <c r="AE169" s="8">
        <v>0</v>
      </c>
      <c r="AF169" s="8">
        <v>0</v>
      </c>
      <c r="AG169" s="6"/>
      <c r="AH169" s="8">
        <v>0</v>
      </c>
      <c r="AI169" s="8">
        <v>0</v>
      </c>
      <c r="AJ169" s="8">
        <v>0</v>
      </c>
      <c r="AK169" s="6"/>
      <c r="AL169" s="8">
        <v>0.5</v>
      </c>
      <c r="AM169" s="6"/>
      <c r="AN169" s="6"/>
      <c r="AO169" s="6"/>
      <c r="AP169" s="8">
        <v>0.5</v>
      </c>
      <c r="AQ169" s="8">
        <v>0</v>
      </c>
      <c r="AR169" s="6"/>
      <c r="AS169" s="6"/>
      <c r="AT169" s="8">
        <v>0</v>
      </c>
      <c r="AU169" s="8">
        <v>0</v>
      </c>
      <c r="AV169" s="8">
        <v>0</v>
      </c>
      <c r="AW169" s="6"/>
      <c r="AX169" s="6"/>
      <c r="AY169" s="6"/>
      <c r="AZ169" s="6"/>
      <c r="BA169" s="6"/>
      <c r="BB169" s="6"/>
      <c r="BC169" s="6"/>
      <c r="BD169" s="6"/>
      <c r="BE169" s="6"/>
      <c r="BF169" s="6"/>
      <c r="BG169" s="6"/>
      <c r="BH169" s="6"/>
      <c r="BI169" s="6"/>
      <c r="BJ169" s="6"/>
      <c r="BK169" s="6"/>
      <c r="BL169" s="8">
        <v>0.5</v>
      </c>
      <c r="BM169" s="6"/>
      <c r="BN169" s="6"/>
      <c r="BO169" s="6"/>
      <c r="BP169" s="6"/>
      <c r="BQ169" s="6"/>
      <c r="BR169" s="6"/>
      <c r="BS169" s="6"/>
      <c r="BT169" s="6"/>
      <c r="BU169" s="6"/>
      <c r="BV169" s="6"/>
      <c r="BW169" s="6"/>
      <c r="BX169" s="6"/>
      <c r="BY169" s="6"/>
      <c r="BZ169" s="6"/>
      <c r="CA169" s="6"/>
      <c r="CB169" s="6"/>
      <c r="CC169" s="6"/>
      <c r="CD169" s="6"/>
      <c r="CE169" s="6"/>
      <c r="CF169" s="6"/>
      <c r="CG169" s="9">
        <v>0.5</v>
      </c>
    </row>
    <row r="170" spans="1:85" x14ac:dyDescent="0.3">
      <c r="A170" s="3" t="str">
        <f t="shared" si="4"/>
        <v>NON ADDCross-Foundation ActivitiesSecure and Trustworthy Cyberspace (SaTC)Total</v>
      </c>
      <c r="B170" s="6" t="s">
        <v>223</v>
      </c>
      <c r="C170" s="6" t="s">
        <v>224</v>
      </c>
      <c r="D170" s="6" t="s">
        <v>242</v>
      </c>
      <c r="E170" s="6" t="s">
        <v>24</v>
      </c>
      <c r="F170" s="6"/>
      <c r="G170" s="6"/>
      <c r="H170" s="6"/>
      <c r="I170" s="6"/>
      <c r="J170" s="6"/>
      <c r="K170" s="6"/>
      <c r="L170" s="6"/>
      <c r="M170" s="6"/>
      <c r="N170" s="6"/>
      <c r="O170" s="6"/>
      <c r="P170" s="6"/>
      <c r="Q170" s="6"/>
      <c r="R170" s="8">
        <v>70</v>
      </c>
      <c r="S170" s="8">
        <v>70</v>
      </c>
      <c r="T170" s="6"/>
      <c r="U170" s="6"/>
      <c r="V170" s="6"/>
      <c r="W170" s="6"/>
      <c r="X170" s="6"/>
      <c r="Y170" s="6"/>
      <c r="Z170" s="8">
        <v>3.25</v>
      </c>
      <c r="AA170" s="8">
        <v>3.25</v>
      </c>
      <c r="AB170" s="6"/>
      <c r="AC170" s="6"/>
      <c r="AD170" s="6"/>
      <c r="AE170" s="6"/>
      <c r="AF170" s="6"/>
      <c r="AG170" s="6"/>
      <c r="AH170" s="6"/>
      <c r="AI170" s="6"/>
      <c r="AJ170" s="6"/>
      <c r="AK170" s="6"/>
      <c r="AL170" s="8">
        <v>1.25</v>
      </c>
      <c r="AM170" s="6"/>
      <c r="AN170" s="6"/>
      <c r="AO170" s="6"/>
      <c r="AP170" s="8">
        <v>1.25</v>
      </c>
      <c r="AQ170" s="8">
        <v>0</v>
      </c>
      <c r="AR170" s="6"/>
      <c r="AS170" s="8">
        <v>0</v>
      </c>
      <c r="AT170" s="8">
        <v>0</v>
      </c>
      <c r="AU170" s="8">
        <v>4</v>
      </c>
      <c r="AV170" s="8">
        <v>4</v>
      </c>
      <c r="AW170" s="6"/>
      <c r="AX170" s="6"/>
      <c r="AY170" s="6"/>
      <c r="AZ170" s="6"/>
      <c r="BA170" s="6"/>
      <c r="BB170" s="6"/>
      <c r="BC170" s="6"/>
      <c r="BD170" s="6"/>
      <c r="BE170" s="6"/>
      <c r="BF170" s="6"/>
      <c r="BG170" s="6"/>
      <c r="BH170" s="6"/>
      <c r="BI170" s="6"/>
      <c r="BJ170" s="6"/>
      <c r="BK170" s="6"/>
      <c r="BL170" s="8">
        <v>78.5</v>
      </c>
      <c r="BM170" s="8">
        <v>63</v>
      </c>
      <c r="BN170" s="6"/>
      <c r="BO170" s="6"/>
      <c r="BP170" s="6"/>
      <c r="BQ170" s="6"/>
      <c r="BR170" s="8">
        <v>63</v>
      </c>
      <c r="BS170" s="8">
        <v>63</v>
      </c>
      <c r="BT170" s="6"/>
      <c r="BU170" s="6"/>
      <c r="BV170" s="6"/>
      <c r="BW170" s="6"/>
      <c r="BX170" s="6"/>
      <c r="BY170" s="6"/>
      <c r="BZ170" s="6"/>
      <c r="CA170" s="6"/>
      <c r="CB170" s="6"/>
      <c r="CC170" s="6"/>
      <c r="CD170" s="6"/>
      <c r="CE170" s="6"/>
      <c r="CF170" s="6"/>
      <c r="CG170" s="9">
        <v>141.5</v>
      </c>
    </row>
    <row r="171" spans="1:85" x14ac:dyDescent="0.3">
      <c r="A171" s="3" t="str">
        <f t="shared" si="4"/>
        <v>NON ADDCross-Foundation ActivitiesThe Future of Work at the Human-Technology Frontier (FW-HTF) - TotalTotal</v>
      </c>
      <c r="B171" s="6" t="s">
        <v>223</v>
      </c>
      <c r="C171" s="6" t="s">
        <v>224</v>
      </c>
      <c r="D171" s="6" t="s">
        <v>243</v>
      </c>
      <c r="E171" s="6" t="s">
        <v>24</v>
      </c>
      <c r="F171" s="6"/>
      <c r="G171" s="6"/>
      <c r="H171" s="6"/>
      <c r="I171" s="6"/>
      <c r="J171" s="6"/>
      <c r="K171" s="6"/>
      <c r="L171" s="6"/>
      <c r="M171" s="6"/>
      <c r="N171" s="6"/>
      <c r="O171" s="6"/>
      <c r="P171" s="6"/>
      <c r="Q171" s="6"/>
      <c r="R171" s="8">
        <v>80.5</v>
      </c>
      <c r="S171" s="8">
        <v>80.5</v>
      </c>
      <c r="T171" s="6"/>
      <c r="U171" s="6"/>
      <c r="V171" s="6"/>
      <c r="W171" s="6"/>
      <c r="X171" s="6"/>
      <c r="Y171" s="6"/>
      <c r="Z171" s="8">
        <v>42</v>
      </c>
      <c r="AA171" s="8">
        <v>42</v>
      </c>
      <c r="AB171" s="6"/>
      <c r="AC171" s="6"/>
      <c r="AD171" s="6"/>
      <c r="AE171" s="6"/>
      <c r="AF171" s="6"/>
      <c r="AG171" s="6"/>
      <c r="AH171" s="6"/>
      <c r="AI171" s="6"/>
      <c r="AJ171" s="6"/>
      <c r="AK171" s="6"/>
      <c r="AL171" s="6"/>
      <c r="AM171" s="6"/>
      <c r="AN171" s="6"/>
      <c r="AO171" s="8">
        <v>0</v>
      </c>
      <c r="AP171" s="8">
        <v>0</v>
      </c>
      <c r="AQ171" s="6"/>
      <c r="AR171" s="6"/>
      <c r="AS171" s="6"/>
      <c r="AT171" s="6"/>
      <c r="AU171" s="8">
        <v>11.5</v>
      </c>
      <c r="AV171" s="8">
        <v>11.5</v>
      </c>
      <c r="AW171" s="6"/>
      <c r="AX171" s="6"/>
      <c r="AY171" s="6"/>
      <c r="AZ171" s="6"/>
      <c r="BA171" s="8">
        <v>11.25</v>
      </c>
      <c r="BB171" s="8">
        <v>11.25</v>
      </c>
      <c r="BC171" s="6"/>
      <c r="BD171" s="6"/>
      <c r="BE171" s="6"/>
      <c r="BF171" s="8">
        <v>0</v>
      </c>
      <c r="BG171" s="8">
        <v>0</v>
      </c>
      <c r="BH171" s="6"/>
      <c r="BI171" s="6"/>
      <c r="BJ171" s="6"/>
      <c r="BK171" s="6"/>
      <c r="BL171" s="8">
        <v>145.25</v>
      </c>
      <c r="BM171" s="6"/>
      <c r="BN171" s="6"/>
      <c r="BO171" s="6"/>
      <c r="BP171" s="6"/>
      <c r="BQ171" s="8">
        <v>10.3</v>
      </c>
      <c r="BR171" s="8">
        <v>10.3</v>
      </c>
      <c r="BS171" s="8">
        <v>10.3</v>
      </c>
      <c r="BT171" s="6"/>
      <c r="BU171" s="6"/>
      <c r="BV171" s="6"/>
      <c r="BW171" s="6"/>
      <c r="BX171" s="6"/>
      <c r="BY171" s="6"/>
      <c r="BZ171" s="6"/>
      <c r="CA171" s="6"/>
      <c r="CB171" s="6"/>
      <c r="CC171" s="6"/>
      <c r="CD171" s="6"/>
      <c r="CE171" s="6"/>
      <c r="CF171" s="6"/>
      <c r="CG171" s="9">
        <v>155.55000000000001</v>
      </c>
    </row>
    <row r="172" spans="1:85" x14ac:dyDescent="0.3">
      <c r="A172" s="3" t="str">
        <f t="shared" si="4"/>
        <v>NON ADDCross-Foundation ActivitiesThe Quantum Leap (QL) - TotalTotal</v>
      </c>
      <c r="B172" s="6" t="s">
        <v>223</v>
      </c>
      <c r="C172" s="6" t="s">
        <v>224</v>
      </c>
      <c r="D172" s="6" t="s">
        <v>244</v>
      </c>
      <c r="E172" s="6" t="s">
        <v>24</v>
      </c>
      <c r="F172" s="6"/>
      <c r="G172" s="6"/>
      <c r="H172" s="6"/>
      <c r="I172" s="6"/>
      <c r="J172" s="6"/>
      <c r="K172" s="8">
        <v>1</v>
      </c>
      <c r="L172" s="8">
        <v>1</v>
      </c>
      <c r="M172" s="6"/>
      <c r="N172" s="6"/>
      <c r="O172" s="6"/>
      <c r="P172" s="6"/>
      <c r="Q172" s="6"/>
      <c r="R172" s="6"/>
      <c r="S172" s="6"/>
      <c r="T172" s="6"/>
      <c r="U172" s="6"/>
      <c r="V172" s="6"/>
      <c r="W172" s="6"/>
      <c r="X172" s="6"/>
      <c r="Y172" s="6"/>
      <c r="Z172" s="8">
        <v>1.6</v>
      </c>
      <c r="AA172" s="8">
        <v>1.6</v>
      </c>
      <c r="AB172" s="6"/>
      <c r="AC172" s="6"/>
      <c r="AD172" s="6"/>
      <c r="AE172" s="6"/>
      <c r="AF172" s="6"/>
      <c r="AG172" s="6"/>
      <c r="AH172" s="6"/>
      <c r="AI172" s="6"/>
      <c r="AJ172" s="8">
        <v>0</v>
      </c>
      <c r="AK172" s="8">
        <v>0</v>
      </c>
      <c r="AL172" s="8">
        <v>0</v>
      </c>
      <c r="AM172" s="6"/>
      <c r="AN172" s="8">
        <v>0</v>
      </c>
      <c r="AO172" s="8">
        <v>0</v>
      </c>
      <c r="AP172" s="8">
        <v>0</v>
      </c>
      <c r="AQ172" s="6"/>
      <c r="AR172" s="6"/>
      <c r="AS172" s="6"/>
      <c r="AT172" s="6"/>
      <c r="AU172" s="6"/>
      <c r="AV172" s="6"/>
      <c r="AW172" s="6"/>
      <c r="AX172" s="6"/>
      <c r="AY172" s="6"/>
      <c r="AZ172" s="6"/>
      <c r="BA172" s="6"/>
      <c r="BB172" s="6"/>
      <c r="BC172" s="8">
        <v>0</v>
      </c>
      <c r="BD172" s="8">
        <v>0</v>
      </c>
      <c r="BE172" s="6"/>
      <c r="BF172" s="6"/>
      <c r="BG172" s="6"/>
      <c r="BH172" s="6"/>
      <c r="BI172" s="6"/>
      <c r="BJ172" s="6"/>
      <c r="BK172" s="6"/>
      <c r="BL172" s="8">
        <v>2.6</v>
      </c>
      <c r="BM172" s="6"/>
      <c r="BN172" s="6"/>
      <c r="BO172" s="6"/>
      <c r="BP172" s="6"/>
      <c r="BQ172" s="6"/>
      <c r="BR172" s="6"/>
      <c r="BS172" s="6"/>
      <c r="BT172" s="6"/>
      <c r="BU172" s="6"/>
      <c r="BV172" s="6"/>
      <c r="BW172" s="6"/>
      <c r="BX172" s="6"/>
      <c r="BY172" s="6"/>
      <c r="BZ172" s="6"/>
      <c r="CA172" s="6"/>
      <c r="CB172" s="6"/>
      <c r="CC172" s="6"/>
      <c r="CD172" s="6"/>
      <c r="CE172" s="6"/>
      <c r="CF172" s="6"/>
      <c r="CG172" s="9">
        <v>2.6</v>
      </c>
    </row>
    <row r="173" spans="1:85" x14ac:dyDescent="0.3">
      <c r="A173" s="3" t="str">
        <f t="shared" si="4"/>
        <v>NON ADDCross-Foundation ActivitiesUnderstanding the Brain (UtB)Total</v>
      </c>
      <c r="B173" s="6" t="s">
        <v>223</v>
      </c>
      <c r="C173" s="6" t="s">
        <v>224</v>
      </c>
      <c r="D173" s="6" t="s">
        <v>245</v>
      </c>
      <c r="E173" s="6" t="s">
        <v>24</v>
      </c>
      <c r="F173" s="6"/>
      <c r="G173" s="6"/>
      <c r="H173" s="6"/>
      <c r="I173" s="6"/>
      <c r="J173" s="6"/>
      <c r="K173" s="8">
        <v>0</v>
      </c>
      <c r="L173" s="8">
        <v>0</v>
      </c>
      <c r="M173" s="6"/>
      <c r="N173" s="6"/>
      <c r="O173" s="6"/>
      <c r="P173" s="6"/>
      <c r="Q173" s="6"/>
      <c r="R173" s="6"/>
      <c r="S173" s="6"/>
      <c r="T173" s="6"/>
      <c r="U173" s="6"/>
      <c r="V173" s="6"/>
      <c r="W173" s="6"/>
      <c r="X173" s="6"/>
      <c r="Y173" s="6"/>
      <c r="Z173" s="8">
        <v>0</v>
      </c>
      <c r="AA173" s="8">
        <v>0</v>
      </c>
      <c r="AB173" s="6"/>
      <c r="AC173" s="6"/>
      <c r="AD173" s="6"/>
      <c r="AE173" s="6"/>
      <c r="AF173" s="6"/>
      <c r="AG173" s="6"/>
      <c r="AH173" s="6"/>
      <c r="AI173" s="6"/>
      <c r="AJ173" s="8">
        <v>0</v>
      </c>
      <c r="AK173" s="8">
        <v>0</v>
      </c>
      <c r="AL173" s="8">
        <v>0.5</v>
      </c>
      <c r="AM173" s="8">
        <v>0</v>
      </c>
      <c r="AN173" s="8">
        <v>0</v>
      </c>
      <c r="AO173" s="6"/>
      <c r="AP173" s="8">
        <v>0.5</v>
      </c>
      <c r="AQ173" s="8">
        <v>0</v>
      </c>
      <c r="AR173" s="6"/>
      <c r="AS173" s="8">
        <v>0</v>
      </c>
      <c r="AT173" s="6"/>
      <c r="AU173" s="6"/>
      <c r="AV173" s="8">
        <v>0</v>
      </c>
      <c r="AW173" s="6"/>
      <c r="AX173" s="6"/>
      <c r="AY173" s="6"/>
      <c r="AZ173" s="6"/>
      <c r="BA173" s="6"/>
      <c r="BB173" s="6"/>
      <c r="BC173" s="8">
        <v>0</v>
      </c>
      <c r="BD173" s="8">
        <v>0</v>
      </c>
      <c r="BE173" s="6"/>
      <c r="BF173" s="6"/>
      <c r="BG173" s="6"/>
      <c r="BH173" s="6"/>
      <c r="BI173" s="6"/>
      <c r="BJ173" s="6"/>
      <c r="BK173" s="6"/>
      <c r="BL173" s="8">
        <v>0.5</v>
      </c>
      <c r="BM173" s="8">
        <v>0</v>
      </c>
      <c r="BN173" s="8">
        <v>0</v>
      </c>
      <c r="BO173" s="8">
        <v>0</v>
      </c>
      <c r="BP173" s="6"/>
      <c r="BQ173" s="6"/>
      <c r="BR173" s="8">
        <v>0</v>
      </c>
      <c r="BS173" s="8">
        <v>0</v>
      </c>
      <c r="BT173" s="6"/>
      <c r="BU173" s="6"/>
      <c r="BV173" s="6"/>
      <c r="BW173" s="6"/>
      <c r="BX173" s="6"/>
      <c r="BY173" s="6"/>
      <c r="BZ173" s="6"/>
      <c r="CA173" s="6"/>
      <c r="CB173" s="6"/>
      <c r="CC173" s="6"/>
      <c r="CD173" s="6"/>
      <c r="CE173" s="6"/>
      <c r="CF173" s="6"/>
      <c r="CG173" s="9">
        <v>0.5</v>
      </c>
    </row>
    <row r="174" spans="1:85" x14ac:dyDescent="0.3">
      <c r="A174" s="3" t="str">
        <f t="shared" si="4"/>
        <v>NON ADDCross-Foundation ActivitiesUnderstanding the Rules of Life (URoL) - TotalTotal</v>
      </c>
      <c r="B174" s="6" t="s">
        <v>223</v>
      </c>
      <c r="C174" s="6" t="s">
        <v>224</v>
      </c>
      <c r="D174" s="6" t="s">
        <v>246</v>
      </c>
      <c r="E174" s="6" t="s">
        <v>24</v>
      </c>
      <c r="F174" s="6"/>
      <c r="G174" s="6"/>
      <c r="H174" s="6"/>
      <c r="I174" s="6"/>
      <c r="J174" s="6"/>
      <c r="K174" s="8">
        <v>50</v>
      </c>
      <c r="L174" s="8">
        <v>50</v>
      </c>
      <c r="M174" s="6"/>
      <c r="N174" s="6"/>
      <c r="O174" s="6"/>
      <c r="P174" s="6"/>
      <c r="Q174" s="6"/>
      <c r="R174" s="8">
        <v>6.92</v>
      </c>
      <c r="S174" s="8">
        <v>6.92</v>
      </c>
      <c r="T174" s="6"/>
      <c r="U174" s="6"/>
      <c r="V174" s="6"/>
      <c r="W174" s="6"/>
      <c r="X174" s="6"/>
      <c r="Y174" s="6"/>
      <c r="Z174" s="8">
        <v>3</v>
      </c>
      <c r="AA174" s="8">
        <v>3</v>
      </c>
      <c r="AB174" s="6"/>
      <c r="AC174" s="6"/>
      <c r="AD174" s="8">
        <v>4</v>
      </c>
      <c r="AE174" s="6"/>
      <c r="AF174" s="6"/>
      <c r="AG174" s="8">
        <v>0</v>
      </c>
      <c r="AH174" s="8">
        <v>4</v>
      </c>
      <c r="AI174" s="6"/>
      <c r="AJ174" s="8">
        <v>10</v>
      </c>
      <c r="AK174" s="8">
        <v>0</v>
      </c>
      <c r="AL174" s="8">
        <v>5</v>
      </c>
      <c r="AM174" s="6"/>
      <c r="AN174" s="8">
        <v>1</v>
      </c>
      <c r="AO174" s="8">
        <v>0</v>
      </c>
      <c r="AP174" s="8">
        <v>16</v>
      </c>
      <c r="AQ174" s="6"/>
      <c r="AR174" s="6"/>
      <c r="AS174" s="6"/>
      <c r="AT174" s="6"/>
      <c r="AU174" s="8">
        <v>4.5</v>
      </c>
      <c r="AV174" s="8">
        <v>4.5</v>
      </c>
      <c r="AW174" s="6"/>
      <c r="AX174" s="6"/>
      <c r="AY174" s="6"/>
      <c r="AZ174" s="6"/>
      <c r="BA174" s="6"/>
      <c r="BB174" s="6"/>
      <c r="BC174" s="6"/>
      <c r="BD174" s="6"/>
      <c r="BE174" s="6"/>
      <c r="BF174" s="6"/>
      <c r="BG174" s="6"/>
      <c r="BH174" s="6"/>
      <c r="BI174" s="6"/>
      <c r="BJ174" s="6"/>
      <c r="BK174" s="6"/>
      <c r="BL174" s="8">
        <v>84.42</v>
      </c>
      <c r="BM174" s="6"/>
      <c r="BN174" s="6"/>
      <c r="BO174" s="6"/>
      <c r="BP174" s="6"/>
      <c r="BQ174" s="6"/>
      <c r="BR174" s="6"/>
      <c r="BS174" s="6"/>
      <c r="BT174" s="6"/>
      <c r="BU174" s="6"/>
      <c r="BV174" s="6"/>
      <c r="BW174" s="6"/>
      <c r="BX174" s="6"/>
      <c r="BY174" s="6"/>
      <c r="BZ174" s="6"/>
      <c r="CA174" s="6"/>
      <c r="CB174" s="6"/>
      <c r="CC174" s="6"/>
      <c r="CD174" s="6"/>
      <c r="CE174" s="6"/>
      <c r="CF174" s="6"/>
      <c r="CG174" s="9">
        <v>84.42</v>
      </c>
    </row>
    <row r="175" spans="1:85" x14ac:dyDescent="0.3">
      <c r="A175" s="3" t="str">
        <f t="shared" si="4"/>
        <v>NON ADDCross-Foundation ActivitiesWindows on the Universe (WoU) - TotalTotal</v>
      </c>
      <c r="B175" s="6" t="s">
        <v>223</v>
      </c>
      <c r="C175" s="6" t="s">
        <v>224</v>
      </c>
      <c r="D175" s="6" t="s">
        <v>247</v>
      </c>
      <c r="E175" s="6" t="s">
        <v>24</v>
      </c>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8">
        <v>3</v>
      </c>
      <c r="AF175" s="6"/>
      <c r="AG175" s="6"/>
      <c r="AH175" s="8">
        <v>3</v>
      </c>
      <c r="AI175" s="8">
        <v>2</v>
      </c>
      <c r="AJ175" s="6"/>
      <c r="AK175" s="6"/>
      <c r="AL175" s="6"/>
      <c r="AM175" s="8">
        <v>30</v>
      </c>
      <c r="AN175" s="8">
        <v>21</v>
      </c>
      <c r="AO175" s="8">
        <v>0</v>
      </c>
      <c r="AP175" s="8">
        <v>53</v>
      </c>
      <c r="AQ175" s="6"/>
      <c r="AR175" s="6"/>
      <c r="AS175" s="6"/>
      <c r="AT175" s="6"/>
      <c r="AU175" s="6"/>
      <c r="AV175" s="6"/>
      <c r="AW175" s="6"/>
      <c r="AX175" s="6"/>
      <c r="AY175" s="6"/>
      <c r="AZ175" s="6"/>
      <c r="BA175" s="6"/>
      <c r="BB175" s="6"/>
      <c r="BC175" s="6"/>
      <c r="BD175" s="6"/>
      <c r="BE175" s="6"/>
      <c r="BF175" s="6"/>
      <c r="BG175" s="6"/>
      <c r="BH175" s="6"/>
      <c r="BI175" s="6"/>
      <c r="BJ175" s="6"/>
      <c r="BK175" s="6"/>
      <c r="BL175" s="8">
        <v>56</v>
      </c>
      <c r="BM175" s="6"/>
      <c r="BN175" s="6"/>
      <c r="BO175" s="6"/>
      <c r="BP175" s="6"/>
      <c r="BQ175" s="6"/>
      <c r="BR175" s="6"/>
      <c r="BS175" s="6"/>
      <c r="BT175" s="6"/>
      <c r="BU175" s="6"/>
      <c r="BV175" s="6"/>
      <c r="BW175" s="6"/>
      <c r="BX175" s="6"/>
      <c r="BY175" s="6"/>
      <c r="BZ175" s="6"/>
      <c r="CA175" s="6"/>
      <c r="CB175" s="6"/>
      <c r="CC175" s="6"/>
      <c r="CD175" s="6"/>
      <c r="CE175" s="6"/>
      <c r="CF175" s="6"/>
      <c r="CG175" s="9">
        <v>56</v>
      </c>
    </row>
    <row r="176" spans="1:85" x14ac:dyDescent="0.3">
      <c r="A176" s="3" t="str">
        <f t="shared" si="4"/>
        <v>NON ADDHomeland Security ActivitiesTotalTotal</v>
      </c>
      <c r="B176" s="6" t="s">
        <v>223</v>
      </c>
      <c r="C176" s="6" t="s">
        <v>248</v>
      </c>
      <c r="D176" s="6" t="s">
        <v>24</v>
      </c>
      <c r="E176" s="6" t="s">
        <v>24</v>
      </c>
      <c r="F176" s="6"/>
      <c r="G176" s="6"/>
      <c r="H176" s="6"/>
      <c r="I176" s="6"/>
      <c r="J176" s="6"/>
      <c r="K176" s="8">
        <v>16</v>
      </c>
      <c r="L176" s="8">
        <v>16</v>
      </c>
      <c r="M176" s="6"/>
      <c r="N176" s="6"/>
      <c r="O176" s="6"/>
      <c r="P176" s="6"/>
      <c r="Q176" s="6"/>
      <c r="R176" s="8">
        <v>188.67</v>
      </c>
      <c r="S176" s="8">
        <v>188.67</v>
      </c>
      <c r="T176" s="6"/>
      <c r="U176" s="6"/>
      <c r="V176" s="6"/>
      <c r="W176" s="6"/>
      <c r="X176" s="6"/>
      <c r="Y176" s="6"/>
      <c r="Z176" s="8">
        <v>132.35</v>
      </c>
      <c r="AA176" s="8">
        <v>132.35</v>
      </c>
      <c r="AB176" s="6"/>
      <c r="AC176" s="6"/>
      <c r="AD176" s="6"/>
      <c r="AE176" s="8">
        <v>5.03</v>
      </c>
      <c r="AF176" s="6"/>
      <c r="AG176" s="6"/>
      <c r="AH176" s="8">
        <v>5.03</v>
      </c>
      <c r="AI176" s="6"/>
      <c r="AJ176" s="8">
        <v>0</v>
      </c>
      <c r="AK176" s="6"/>
      <c r="AL176" s="8">
        <v>1.75</v>
      </c>
      <c r="AM176" s="6"/>
      <c r="AN176" s="6"/>
      <c r="AO176" s="6"/>
      <c r="AP176" s="8">
        <v>1.75</v>
      </c>
      <c r="AQ176" s="8">
        <v>0</v>
      </c>
      <c r="AR176" s="6"/>
      <c r="AS176" s="8">
        <v>0</v>
      </c>
      <c r="AT176" s="8">
        <v>0</v>
      </c>
      <c r="AU176" s="8">
        <v>7.5</v>
      </c>
      <c r="AV176" s="8">
        <v>7.5</v>
      </c>
      <c r="AW176" s="6"/>
      <c r="AX176" s="6"/>
      <c r="AY176" s="6"/>
      <c r="AZ176" s="6"/>
      <c r="BA176" s="8">
        <v>17.5</v>
      </c>
      <c r="BB176" s="8">
        <v>17.5</v>
      </c>
      <c r="BC176" s="6"/>
      <c r="BD176" s="6"/>
      <c r="BE176" s="6"/>
      <c r="BF176" s="8">
        <v>5.53</v>
      </c>
      <c r="BG176" s="8">
        <v>5.53</v>
      </c>
      <c r="BH176" s="6"/>
      <c r="BI176" s="6"/>
      <c r="BJ176" s="6"/>
      <c r="BK176" s="6"/>
      <c r="BL176" s="8">
        <v>374.33</v>
      </c>
      <c r="BM176" s="8">
        <v>63</v>
      </c>
      <c r="BN176" s="6"/>
      <c r="BO176" s="6"/>
      <c r="BP176" s="6"/>
      <c r="BQ176" s="8">
        <v>0.97</v>
      </c>
      <c r="BR176" s="8">
        <v>63.97</v>
      </c>
      <c r="BS176" s="8">
        <v>63.97</v>
      </c>
      <c r="BT176" s="6"/>
      <c r="BU176" s="6"/>
      <c r="BV176" s="6"/>
      <c r="BW176" s="6"/>
      <c r="BX176" s="8">
        <v>4.51</v>
      </c>
      <c r="BY176" s="8">
        <v>4.51</v>
      </c>
      <c r="BZ176" s="8">
        <v>4.51</v>
      </c>
      <c r="CA176" s="6"/>
      <c r="CB176" s="6"/>
      <c r="CC176" s="6"/>
      <c r="CD176" s="6"/>
      <c r="CE176" s="6"/>
      <c r="CF176" s="6"/>
      <c r="CG176" s="9">
        <v>442.81</v>
      </c>
    </row>
    <row r="177" spans="1:85" x14ac:dyDescent="0.3">
      <c r="A177" s="3" t="str">
        <f t="shared" si="4"/>
        <v>NON ADDHomeland Security ActivitiesDefending Against Catastrophic ThreatsTotal</v>
      </c>
      <c r="B177" s="6" t="s">
        <v>223</v>
      </c>
      <c r="C177" s="6" t="s">
        <v>248</v>
      </c>
      <c r="D177" s="6" t="s">
        <v>249</v>
      </c>
      <c r="E177" s="6" t="s">
        <v>24</v>
      </c>
      <c r="F177" s="6"/>
      <c r="G177" s="6"/>
      <c r="H177" s="6"/>
      <c r="I177" s="6"/>
      <c r="J177" s="6"/>
      <c r="K177" s="8">
        <v>16</v>
      </c>
      <c r="L177" s="8">
        <v>16</v>
      </c>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8">
        <v>16</v>
      </c>
      <c r="BM177" s="6"/>
      <c r="BN177" s="6"/>
      <c r="BO177" s="6"/>
      <c r="BP177" s="6"/>
      <c r="BQ177" s="6"/>
      <c r="BR177" s="6"/>
      <c r="BS177" s="6"/>
      <c r="BT177" s="6"/>
      <c r="BU177" s="6"/>
      <c r="BV177" s="6"/>
      <c r="BW177" s="6"/>
      <c r="BX177" s="6"/>
      <c r="BY177" s="6"/>
      <c r="BZ177" s="6"/>
      <c r="CA177" s="6"/>
      <c r="CB177" s="6"/>
      <c r="CC177" s="6"/>
      <c r="CD177" s="6"/>
      <c r="CE177" s="6"/>
      <c r="CF177" s="6"/>
      <c r="CG177" s="9">
        <v>16</v>
      </c>
    </row>
    <row r="178" spans="1:85" x14ac:dyDescent="0.3">
      <c r="A178" s="3" t="str">
        <f t="shared" si="4"/>
        <v>NON ADDHomeland Security ActivitiesDefending Against Catastrophic ThreatsHSA-Research to Combat Bioterrorism - Microbial Genomics, Analysis &amp; Modeling</v>
      </c>
      <c r="B178" s="6" t="s">
        <v>223</v>
      </c>
      <c r="C178" s="6" t="s">
        <v>248</v>
      </c>
      <c r="D178" s="6" t="s">
        <v>249</v>
      </c>
      <c r="E178" s="6" t="s">
        <v>250</v>
      </c>
      <c r="F178" s="6"/>
      <c r="G178" s="6"/>
      <c r="H178" s="6"/>
      <c r="I178" s="6"/>
      <c r="J178" s="6"/>
      <c r="K178" s="8">
        <v>16</v>
      </c>
      <c r="L178" s="8">
        <v>16</v>
      </c>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8">
        <v>16</v>
      </c>
      <c r="BM178" s="6"/>
      <c r="BN178" s="6"/>
      <c r="BO178" s="6"/>
      <c r="BP178" s="6"/>
      <c r="BQ178" s="6"/>
      <c r="BR178" s="6"/>
      <c r="BS178" s="6"/>
      <c r="BT178" s="6"/>
      <c r="BU178" s="6"/>
      <c r="BV178" s="6"/>
      <c r="BW178" s="6"/>
      <c r="BX178" s="6"/>
      <c r="BY178" s="6"/>
      <c r="BZ178" s="6"/>
      <c r="CA178" s="6"/>
      <c r="CB178" s="6"/>
      <c r="CC178" s="6"/>
      <c r="CD178" s="6"/>
      <c r="CE178" s="6"/>
      <c r="CF178" s="6"/>
      <c r="CG178" s="9">
        <v>16</v>
      </c>
    </row>
    <row r="179" spans="1:85" x14ac:dyDescent="0.3">
      <c r="A179" s="3" t="str">
        <f t="shared" si="4"/>
        <v>NON ADDHomeland Security ActivitiesProtecting Critical Infrastructure &amp; Key AssetsTotal</v>
      </c>
      <c r="B179" s="6" t="s">
        <v>223</v>
      </c>
      <c r="C179" s="6" t="s">
        <v>248</v>
      </c>
      <c r="D179" s="6" t="s">
        <v>251</v>
      </c>
      <c r="E179" s="6" t="s">
        <v>24</v>
      </c>
      <c r="F179" s="6"/>
      <c r="G179" s="6"/>
      <c r="H179" s="6"/>
      <c r="I179" s="6"/>
      <c r="J179" s="6"/>
      <c r="K179" s="6"/>
      <c r="L179" s="6"/>
      <c r="M179" s="6"/>
      <c r="N179" s="6"/>
      <c r="O179" s="6"/>
      <c r="P179" s="6"/>
      <c r="Q179" s="6"/>
      <c r="R179" s="8">
        <v>188.67</v>
      </c>
      <c r="S179" s="8">
        <v>188.67</v>
      </c>
      <c r="T179" s="6"/>
      <c r="U179" s="6"/>
      <c r="V179" s="6"/>
      <c r="W179" s="6"/>
      <c r="X179" s="6"/>
      <c r="Y179" s="6"/>
      <c r="Z179" s="8">
        <v>132.35</v>
      </c>
      <c r="AA179" s="8">
        <v>132.35</v>
      </c>
      <c r="AB179" s="6"/>
      <c r="AC179" s="6"/>
      <c r="AD179" s="6"/>
      <c r="AE179" s="8">
        <v>5.03</v>
      </c>
      <c r="AF179" s="6"/>
      <c r="AG179" s="6"/>
      <c r="AH179" s="8">
        <v>5.03</v>
      </c>
      <c r="AI179" s="6"/>
      <c r="AJ179" s="8">
        <v>0</v>
      </c>
      <c r="AK179" s="6"/>
      <c r="AL179" s="8">
        <v>1.75</v>
      </c>
      <c r="AM179" s="6"/>
      <c r="AN179" s="6"/>
      <c r="AO179" s="6"/>
      <c r="AP179" s="8">
        <v>1.75</v>
      </c>
      <c r="AQ179" s="8">
        <v>0</v>
      </c>
      <c r="AR179" s="6"/>
      <c r="AS179" s="8">
        <v>0</v>
      </c>
      <c r="AT179" s="8">
        <v>0</v>
      </c>
      <c r="AU179" s="8">
        <v>7.5</v>
      </c>
      <c r="AV179" s="8">
        <v>7.5</v>
      </c>
      <c r="AW179" s="6"/>
      <c r="AX179" s="6"/>
      <c r="AY179" s="6"/>
      <c r="AZ179" s="6"/>
      <c r="BA179" s="8">
        <v>17.5</v>
      </c>
      <c r="BB179" s="8">
        <v>17.5</v>
      </c>
      <c r="BC179" s="6"/>
      <c r="BD179" s="6"/>
      <c r="BE179" s="6"/>
      <c r="BF179" s="8">
        <v>5.53</v>
      </c>
      <c r="BG179" s="8">
        <v>5.53</v>
      </c>
      <c r="BH179" s="6"/>
      <c r="BI179" s="6"/>
      <c r="BJ179" s="6"/>
      <c r="BK179" s="6"/>
      <c r="BL179" s="8">
        <v>358.33</v>
      </c>
      <c r="BM179" s="8">
        <v>63</v>
      </c>
      <c r="BN179" s="6"/>
      <c r="BO179" s="6"/>
      <c r="BP179" s="6"/>
      <c r="BQ179" s="8">
        <v>0.97</v>
      </c>
      <c r="BR179" s="8">
        <v>63.97</v>
      </c>
      <c r="BS179" s="8">
        <v>63.97</v>
      </c>
      <c r="BT179" s="6"/>
      <c r="BU179" s="6"/>
      <c r="BV179" s="6"/>
      <c r="BW179" s="6"/>
      <c r="BX179" s="8">
        <v>4.51</v>
      </c>
      <c r="BY179" s="8">
        <v>4.51</v>
      </c>
      <c r="BZ179" s="8">
        <v>4.51</v>
      </c>
      <c r="CA179" s="6"/>
      <c r="CB179" s="6"/>
      <c r="CC179" s="6"/>
      <c r="CD179" s="6"/>
      <c r="CE179" s="6"/>
      <c r="CF179" s="6"/>
      <c r="CG179" s="9">
        <v>426.81</v>
      </c>
    </row>
    <row r="180" spans="1:85" x14ac:dyDescent="0.3">
      <c r="A180" s="3" t="str">
        <f t="shared" si="4"/>
        <v>NON ADDHomeland Security ActivitiesProtecting Critical Infrastructure &amp; Key AssetsHSA-Antarctic Physical Security</v>
      </c>
      <c r="B180" s="6" t="s">
        <v>223</v>
      </c>
      <c r="C180" s="6" t="s">
        <v>248</v>
      </c>
      <c r="D180" s="6" t="s">
        <v>251</v>
      </c>
      <c r="E180" s="6" t="s">
        <v>252</v>
      </c>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8">
        <v>0.3</v>
      </c>
      <c r="AF180" s="6"/>
      <c r="AG180" s="6"/>
      <c r="AH180" s="8">
        <v>0.3</v>
      </c>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8">
        <v>0.3</v>
      </c>
      <c r="BM180" s="6"/>
      <c r="BN180" s="6"/>
      <c r="BO180" s="6"/>
      <c r="BP180" s="6"/>
      <c r="BQ180" s="6"/>
      <c r="BR180" s="6"/>
      <c r="BS180" s="6"/>
      <c r="BT180" s="6"/>
      <c r="BU180" s="6"/>
      <c r="BV180" s="6"/>
      <c r="BW180" s="6"/>
      <c r="BX180" s="6"/>
      <c r="BY180" s="6"/>
      <c r="BZ180" s="6"/>
      <c r="CA180" s="6"/>
      <c r="CB180" s="6"/>
      <c r="CC180" s="6"/>
      <c r="CD180" s="6"/>
      <c r="CE180" s="6"/>
      <c r="CF180" s="6"/>
      <c r="CG180" s="9">
        <v>0.3</v>
      </c>
    </row>
    <row r="181" spans="1:85" x14ac:dyDescent="0.3">
      <c r="A181" s="3" t="str">
        <f t="shared" si="4"/>
        <v>NON ADDHomeland Security ActivitiesProtecting Critical Infrastructure &amp; Key AssetsHSA-Counterterrorism</v>
      </c>
      <c r="B181" s="6" t="s">
        <v>223</v>
      </c>
      <c r="C181" s="6" t="s">
        <v>248</v>
      </c>
      <c r="D181" s="6" t="s">
        <v>251</v>
      </c>
      <c r="E181" s="6" t="s">
        <v>253</v>
      </c>
      <c r="F181" s="6"/>
      <c r="G181" s="6"/>
      <c r="H181" s="6"/>
      <c r="I181" s="6"/>
      <c r="J181" s="6"/>
      <c r="K181" s="6"/>
      <c r="L181" s="6"/>
      <c r="M181" s="6"/>
      <c r="N181" s="6"/>
      <c r="O181" s="6"/>
      <c r="P181" s="6"/>
      <c r="Q181" s="6"/>
      <c r="R181" s="8">
        <v>22.8</v>
      </c>
      <c r="S181" s="8">
        <v>22.8</v>
      </c>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8">
        <v>22.8</v>
      </c>
      <c r="BM181" s="6"/>
      <c r="BN181" s="6"/>
      <c r="BO181" s="6"/>
      <c r="BP181" s="6"/>
      <c r="BQ181" s="6"/>
      <c r="BR181" s="6"/>
      <c r="BS181" s="6"/>
      <c r="BT181" s="6"/>
      <c r="BU181" s="6"/>
      <c r="BV181" s="6"/>
      <c r="BW181" s="6"/>
      <c r="BX181" s="6"/>
      <c r="BY181" s="6"/>
      <c r="BZ181" s="6"/>
      <c r="CA181" s="6"/>
      <c r="CB181" s="6"/>
      <c r="CC181" s="6"/>
      <c r="CD181" s="6"/>
      <c r="CE181" s="6"/>
      <c r="CF181" s="6"/>
      <c r="CG181" s="9">
        <v>22.8</v>
      </c>
    </row>
    <row r="182" spans="1:85" x14ac:dyDescent="0.3">
      <c r="A182" s="3" t="str">
        <f t="shared" si="4"/>
        <v>NON ADDHomeland Security ActivitiesProtecting Critical Infrastructure &amp; Key AssetsHSA-Cybersecurity</v>
      </c>
      <c r="B182" s="6" t="s">
        <v>223</v>
      </c>
      <c r="C182" s="6" t="s">
        <v>248</v>
      </c>
      <c r="D182" s="6" t="s">
        <v>251</v>
      </c>
      <c r="E182" s="6" t="s">
        <v>254</v>
      </c>
      <c r="F182" s="6"/>
      <c r="G182" s="6"/>
      <c r="H182" s="6"/>
      <c r="I182" s="6"/>
      <c r="J182" s="6"/>
      <c r="K182" s="6"/>
      <c r="L182" s="6"/>
      <c r="M182" s="6"/>
      <c r="N182" s="6"/>
      <c r="O182" s="6"/>
      <c r="P182" s="6"/>
      <c r="Q182" s="6"/>
      <c r="R182" s="8">
        <v>144.97</v>
      </c>
      <c r="S182" s="8">
        <v>144.97</v>
      </c>
      <c r="T182" s="6"/>
      <c r="U182" s="6"/>
      <c r="V182" s="6"/>
      <c r="W182" s="6"/>
      <c r="X182" s="6"/>
      <c r="Y182" s="6"/>
      <c r="Z182" s="8">
        <v>4.71</v>
      </c>
      <c r="AA182" s="8">
        <v>4.71</v>
      </c>
      <c r="AB182" s="6"/>
      <c r="AC182" s="6"/>
      <c r="AD182" s="6"/>
      <c r="AE182" s="6"/>
      <c r="AF182" s="6"/>
      <c r="AG182" s="6"/>
      <c r="AH182" s="6"/>
      <c r="AI182" s="6"/>
      <c r="AJ182" s="6"/>
      <c r="AK182" s="6"/>
      <c r="AL182" s="8">
        <v>1.25</v>
      </c>
      <c r="AM182" s="6"/>
      <c r="AN182" s="6"/>
      <c r="AO182" s="6"/>
      <c r="AP182" s="8">
        <v>1.25</v>
      </c>
      <c r="AQ182" s="8">
        <v>0</v>
      </c>
      <c r="AR182" s="6"/>
      <c r="AS182" s="8">
        <v>0</v>
      </c>
      <c r="AT182" s="8">
        <v>0</v>
      </c>
      <c r="AU182" s="8">
        <v>6</v>
      </c>
      <c r="AV182" s="8">
        <v>6</v>
      </c>
      <c r="AW182" s="6"/>
      <c r="AX182" s="6"/>
      <c r="AY182" s="6"/>
      <c r="AZ182" s="6"/>
      <c r="BA182" s="8">
        <v>17.5</v>
      </c>
      <c r="BB182" s="8">
        <v>17.5</v>
      </c>
      <c r="BC182" s="6"/>
      <c r="BD182" s="6"/>
      <c r="BE182" s="6"/>
      <c r="BF182" s="6"/>
      <c r="BG182" s="6"/>
      <c r="BH182" s="6"/>
      <c r="BI182" s="6"/>
      <c r="BJ182" s="6"/>
      <c r="BK182" s="6"/>
      <c r="BL182" s="8">
        <v>174.43</v>
      </c>
      <c r="BM182" s="6"/>
      <c r="BN182" s="6"/>
      <c r="BO182" s="6"/>
      <c r="BP182" s="6"/>
      <c r="BQ182" s="6"/>
      <c r="BR182" s="6"/>
      <c r="BS182" s="6"/>
      <c r="BT182" s="6"/>
      <c r="BU182" s="6"/>
      <c r="BV182" s="6"/>
      <c r="BW182" s="6"/>
      <c r="BX182" s="6"/>
      <c r="BY182" s="6"/>
      <c r="BZ182" s="6"/>
      <c r="CA182" s="6"/>
      <c r="CB182" s="6"/>
      <c r="CC182" s="6"/>
      <c r="CD182" s="6"/>
      <c r="CE182" s="6"/>
      <c r="CF182" s="6"/>
      <c r="CG182" s="9">
        <v>174.43</v>
      </c>
    </row>
    <row r="183" spans="1:85" x14ac:dyDescent="0.3">
      <c r="A183" s="3" t="str">
        <f t="shared" si="4"/>
        <v>NON ADDHomeland Security ActivitiesProtecting Critical Infrastructure &amp; Key AssetsHSA-Emergency Planning &amp; Response</v>
      </c>
      <c r="B183" s="6" t="s">
        <v>223</v>
      </c>
      <c r="C183" s="6" t="s">
        <v>248</v>
      </c>
      <c r="D183" s="6" t="s">
        <v>251</v>
      </c>
      <c r="E183" s="6" t="s">
        <v>255</v>
      </c>
      <c r="F183" s="6"/>
      <c r="G183" s="6"/>
      <c r="H183" s="6"/>
      <c r="I183" s="6"/>
      <c r="J183" s="6"/>
      <c r="K183" s="6"/>
      <c r="L183" s="6"/>
      <c r="M183" s="6"/>
      <c r="N183" s="6"/>
      <c r="O183" s="6"/>
      <c r="P183" s="6"/>
      <c r="Q183" s="6"/>
      <c r="R183" s="8">
        <v>20.9</v>
      </c>
      <c r="S183" s="8">
        <v>20.9</v>
      </c>
      <c r="T183" s="6"/>
      <c r="U183" s="6"/>
      <c r="V183" s="6"/>
      <c r="W183" s="6"/>
      <c r="X183" s="6"/>
      <c r="Y183" s="6"/>
      <c r="Z183" s="8">
        <v>21.43</v>
      </c>
      <c r="AA183" s="8">
        <v>21.43</v>
      </c>
      <c r="AB183" s="6"/>
      <c r="AC183" s="6"/>
      <c r="AD183" s="6"/>
      <c r="AE183" s="6"/>
      <c r="AF183" s="6"/>
      <c r="AG183" s="6"/>
      <c r="AH183" s="6"/>
      <c r="AI183" s="6"/>
      <c r="AJ183" s="8">
        <v>0</v>
      </c>
      <c r="AK183" s="6"/>
      <c r="AL183" s="6"/>
      <c r="AM183" s="6"/>
      <c r="AN183" s="6"/>
      <c r="AO183" s="6"/>
      <c r="AP183" s="8">
        <v>0</v>
      </c>
      <c r="AQ183" s="6"/>
      <c r="AR183" s="6"/>
      <c r="AS183" s="6"/>
      <c r="AT183" s="6"/>
      <c r="AU183" s="6"/>
      <c r="AV183" s="6"/>
      <c r="AW183" s="6"/>
      <c r="AX183" s="6"/>
      <c r="AY183" s="6"/>
      <c r="AZ183" s="6"/>
      <c r="BA183" s="6"/>
      <c r="BB183" s="6"/>
      <c r="BC183" s="6"/>
      <c r="BD183" s="6"/>
      <c r="BE183" s="6"/>
      <c r="BF183" s="6"/>
      <c r="BG183" s="6"/>
      <c r="BH183" s="6"/>
      <c r="BI183" s="6"/>
      <c r="BJ183" s="6"/>
      <c r="BK183" s="6"/>
      <c r="BL183" s="8">
        <v>42.33</v>
      </c>
      <c r="BM183" s="6"/>
      <c r="BN183" s="6"/>
      <c r="BO183" s="6"/>
      <c r="BP183" s="6"/>
      <c r="BQ183" s="6"/>
      <c r="BR183" s="6"/>
      <c r="BS183" s="6"/>
      <c r="BT183" s="6"/>
      <c r="BU183" s="6"/>
      <c r="BV183" s="6"/>
      <c r="BW183" s="6"/>
      <c r="BX183" s="6"/>
      <c r="BY183" s="6"/>
      <c r="BZ183" s="6"/>
      <c r="CA183" s="6"/>
      <c r="CB183" s="6"/>
      <c r="CC183" s="6"/>
      <c r="CD183" s="6"/>
      <c r="CE183" s="6"/>
      <c r="CF183" s="6"/>
      <c r="CG183" s="9">
        <v>42.33</v>
      </c>
    </row>
    <row r="184" spans="1:85" x14ac:dyDescent="0.3">
      <c r="A184" s="3" t="str">
        <f t="shared" si="4"/>
        <v>NON ADDHomeland Security ActivitiesProtecting Critical Infrastructure &amp; Key AssetsHSA-Energy Supply Assurance</v>
      </c>
      <c r="B184" s="6" t="s">
        <v>223</v>
      </c>
      <c r="C184" s="6" t="s">
        <v>248</v>
      </c>
      <c r="D184" s="6" t="s">
        <v>251</v>
      </c>
      <c r="E184" s="6" t="s">
        <v>256</v>
      </c>
      <c r="F184" s="6"/>
      <c r="G184" s="6"/>
      <c r="H184" s="6"/>
      <c r="I184" s="6"/>
      <c r="J184" s="6"/>
      <c r="K184" s="6"/>
      <c r="L184" s="6"/>
      <c r="M184" s="6"/>
      <c r="N184" s="6"/>
      <c r="O184" s="6"/>
      <c r="P184" s="6"/>
      <c r="Q184" s="6"/>
      <c r="R184" s="6"/>
      <c r="S184" s="6"/>
      <c r="T184" s="6"/>
      <c r="U184" s="6"/>
      <c r="V184" s="6"/>
      <c r="W184" s="6"/>
      <c r="X184" s="6"/>
      <c r="Y184" s="6"/>
      <c r="Z184" s="8">
        <v>22.36</v>
      </c>
      <c r="AA184" s="8">
        <v>22.36</v>
      </c>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8">
        <v>22.36</v>
      </c>
      <c r="BM184" s="6"/>
      <c r="BN184" s="6"/>
      <c r="BO184" s="6"/>
      <c r="BP184" s="6"/>
      <c r="BQ184" s="6"/>
      <c r="BR184" s="6"/>
      <c r="BS184" s="6"/>
      <c r="BT184" s="6"/>
      <c r="BU184" s="6"/>
      <c r="BV184" s="6"/>
      <c r="BW184" s="6"/>
      <c r="BX184" s="6"/>
      <c r="BY184" s="6"/>
      <c r="BZ184" s="6"/>
      <c r="CA184" s="6"/>
      <c r="CB184" s="6"/>
      <c r="CC184" s="6"/>
      <c r="CD184" s="6"/>
      <c r="CE184" s="6"/>
      <c r="CF184" s="6"/>
      <c r="CG184" s="9">
        <v>22.36</v>
      </c>
    </row>
    <row r="185" spans="1:85" x14ac:dyDescent="0.3">
      <c r="A185" s="3" t="str">
        <f t="shared" si="4"/>
        <v>NON ADDHomeland Security ActivitiesProtecting Critical Infrastructure &amp; Key AssetsHSA-IT Security</v>
      </c>
      <c r="B185" s="6" t="s">
        <v>223</v>
      </c>
      <c r="C185" s="6" t="s">
        <v>248</v>
      </c>
      <c r="D185" s="6" t="s">
        <v>251</v>
      </c>
      <c r="E185" s="6" t="s">
        <v>257</v>
      </c>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8">
        <v>4.7300000000000004</v>
      </c>
      <c r="AF185" s="6"/>
      <c r="AG185" s="6"/>
      <c r="AH185" s="8">
        <v>4.7300000000000004</v>
      </c>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8">
        <v>5.53</v>
      </c>
      <c r="BG185" s="8">
        <v>5.53</v>
      </c>
      <c r="BH185" s="6"/>
      <c r="BI185" s="6"/>
      <c r="BJ185" s="6"/>
      <c r="BK185" s="6"/>
      <c r="BL185" s="8">
        <v>10.26</v>
      </c>
      <c r="BM185" s="6"/>
      <c r="BN185" s="6"/>
      <c r="BO185" s="6"/>
      <c r="BP185" s="6"/>
      <c r="BQ185" s="8">
        <v>0.97</v>
      </c>
      <c r="BR185" s="8">
        <v>0.97</v>
      </c>
      <c r="BS185" s="8">
        <v>0.97</v>
      </c>
      <c r="BT185" s="6"/>
      <c r="BU185" s="6"/>
      <c r="BV185" s="6"/>
      <c r="BW185" s="6"/>
      <c r="BX185" s="8">
        <v>4.51</v>
      </c>
      <c r="BY185" s="8">
        <v>4.51</v>
      </c>
      <c r="BZ185" s="8">
        <v>4.51</v>
      </c>
      <c r="CA185" s="6"/>
      <c r="CB185" s="6"/>
      <c r="CC185" s="6"/>
      <c r="CD185" s="6"/>
      <c r="CE185" s="6"/>
      <c r="CF185" s="6"/>
      <c r="CG185" s="9">
        <v>15.74</v>
      </c>
    </row>
    <row r="186" spans="1:85" x14ac:dyDescent="0.3">
      <c r="A186" s="3" t="str">
        <f t="shared" si="4"/>
        <v>NON ADDHomeland Security ActivitiesProtecting Critical Infrastructure &amp; Key AssetsHSA-Resilient Infrastructure</v>
      </c>
      <c r="B186" s="6" t="s">
        <v>223</v>
      </c>
      <c r="C186" s="6" t="s">
        <v>248</v>
      </c>
      <c r="D186" s="6" t="s">
        <v>251</v>
      </c>
      <c r="E186" s="6" t="s">
        <v>258</v>
      </c>
      <c r="F186" s="6"/>
      <c r="G186" s="6"/>
      <c r="H186" s="6"/>
      <c r="I186" s="6"/>
      <c r="J186" s="6"/>
      <c r="K186" s="6"/>
      <c r="L186" s="6"/>
      <c r="M186" s="6"/>
      <c r="N186" s="6"/>
      <c r="O186" s="6"/>
      <c r="P186" s="6"/>
      <c r="Q186" s="6"/>
      <c r="R186" s="6"/>
      <c r="S186" s="6"/>
      <c r="T186" s="6"/>
      <c r="U186" s="6"/>
      <c r="V186" s="6"/>
      <c r="W186" s="6"/>
      <c r="X186" s="6"/>
      <c r="Y186" s="6"/>
      <c r="Z186" s="8">
        <v>83.85</v>
      </c>
      <c r="AA186" s="8">
        <v>83.85</v>
      </c>
      <c r="AB186" s="6"/>
      <c r="AC186" s="6"/>
      <c r="AD186" s="6"/>
      <c r="AE186" s="6"/>
      <c r="AF186" s="6"/>
      <c r="AG186" s="6"/>
      <c r="AH186" s="6"/>
      <c r="AI186" s="6"/>
      <c r="AJ186" s="6"/>
      <c r="AK186" s="6"/>
      <c r="AL186" s="8">
        <v>0.5</v>
      </c>
      <c r="AM186" s="6"/>
      <c r="AN186" s="6"/>
      <c r="AO186" s="6"/>
      <c r="AP186" s="8">
        <v>0.5</v>
      </c>
      <c r="AQ186" s="8">
        <v>0</v>
      </c>
      <c r="AR186" s="6"/>
      <c r="AS186" s="6"/>
      <c r="AT186" s="8">
        <v>0</v>
      </c>
      <c r="AU186" s="8">
        <v>1.5</v>
      </c>
      <c r="AV186" s="8">
        <v>1.5</v>
      </c>
      <c r="AW186" s="6"/>
      <c r="AX186" s="6"/>
      <c r="AY186" s="6"/>
      <c r="AZ186" s="6"/>
      <c r="BA186" s="6"/>
      <c r="BB186" s="6"/>
      <c r="BC186" s="6"/>
      <c r="BD186" s="6"/>
      <c r="BE186" s="6"/>
      <c r="BF186" s="6"/>
      <c r="BG186" s="6"/>
      <c r="BH186" s="6"/>
      <c r="BI186" s="6"/>
      <c r="BJ186" s="6"/>
      <c r="BK186" s="6"/>
      <c r="BL186" s="8">
        <v>85.85</v>
      </c>
      <c r="BM186" s="6"/>
      <c r="BN186" s="6"/>
      <c r="BO186" s="6"/>
      <c r="BP186" s="6"/>
      <c r="BQ186" s="6"/>
      <c r="BR186" s="6"/>
      <c r="BS186" s="6"/>
      <c r="BT186" s="6"/>
      <c r="BU186" s="6"/>
      <c r="BV186" s="6"/>
      <c r="BW186" s="6"/>
      <c r="BX186" s="6"/>
      <c r="BY186" s="6"/>
      <c r="BZ186" s="6"/>
      <c r="CA186" s="6"/>
      <c r="CB186" s="6"/>
      <c r="CC186" s="6"/>
      <c r="CD186" s="6"/>
      <c r="CE186" s="6"/>
      <c r="CF186" s="6"/>
      <c r="CG186" s="9">
        <v>85.85</v>
      </c>
    </row>
    <row r="187" spans="1:85" x14ac:dyDescent="0.3">
      <c r="A187" s="3" t="str">
        <f t="shared" si="4"/>
        <v>NON ADDHomeland Security ActivitiesProtecting Critical Infrastructure &amp; Key AssetsHSA-Scholarship for Service/Cybercorps (HSA)</v>
      </c>
      <c r="B187" s="6" t="s">
        <v>223</v>
      </c>
      <c r="C187" s="6" t="s">
        <v>248</v>
      </c>
      <c r="D187" s="6" t="s">
        <v>251</v>
      </c>
      <c r="E187" s="6" t="s">
        <v>259</v>
      </c>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8">
        <v>63</v>
      </c>
      <c r="BN187" s="6"/>
      <c r="BO187" s="6"/>
      <c r="BP187" s="6"/>
      <c r="BQ187" s="6"/>
      <c r="BR187" s="8">
        <v>63</v>
      </c>
      <c r="BS187" s="8">
        <v>63</v>
      </c>
      <c r="BT187" s="6"/>
      <c r="BU187" s="6"/>
      <c r="BV187" s="6"/>
      <c r="BW187" s="6"/>
      <c r="BX187" s="6"/>
      <c r="BY187" s="6"/>
      <c r="BZ187" s="6"/>
      <c r="CA187" s="6"/>
      <c r="CB187" s="6"/>
      <c r="CC187" s="6"/>
      <c r="CD187" s="6"/>
      <c r="CE187" s="6"/>
      <c r="CF187" s="6"/>
      <c r="CG187" s="9">
        <v>63</v>
      </c>
    </row>
    <row r="188" spans="1:85" x14ac:dyDescent="0.3">
      <c r="A188" s="3" t="str">
        <f t="shared" si="4"/>
        <v>NON ADDNSTC Crosscuts (excl. HSA)TotalTotal</v>
      </c>
      <c r="B188" s="6" t="s">
        <v>223</v>
      </c>
      <c r="C188" s="6" t="s">
        <v>260</v>
      </c>
      <c r="D188" s="6" t="s">
        <v>24</v>
      </c>
      <c r="E188" s="6" t="s">
        <v>24</v>
      </c>
      <c r="F188" s="6"/>
      <c r="G188" s="6"/>
      <c r="H188" s="6"/>
      <c r="I188" s="6"/>
      <c r="J188" s="6"/>
      <c r="K188" s="8">
        <v>285.23</v>
      </c>
      <c r="L188" s="8">
        <v>285.23</v>
      </c>
      <c r="M188" s="6"/>
      <c r="N188" s="6"/>
      <c r="O188" s="6"/>
      <c r="P188" s="6"/>
      <c r="Q188" s="6"/>
      <c r="R188" s="8">
        <v>1050.32</v>
      </c>
      <c r="S188" s="8">
        <v>1050.32</v>
      </c>
      <c r="T188" s="6"/>
      <c r="U188" s="6"/>
      <c r="V188" s="6"/>
      <c r="W188" s="6"/>
      <c r="X188" s="6"/>
      <c r="Y188" s="6"/>
      <c r="Z188" s="8">
        <v>375.43</v>
      </c>
      <c r="AA188" s="8">
        <v>375.43</v>
      </c>
      <c r="AB188" s="6"/>
      <c r="AC188" s="6"/>
      <c r="AD188" s="6"/>
      <c r="AE188" s="8">
        <v>59.08</v>
      </c>
      <c r="AF188" s="8">
        <v>0</v>
      </c>
      <c r="AG188" s="8">
        <v>364.6</v>
      </c>
      <c r="AH188" s="8">
        <v>423.68</v>
      </c>
      <c r="AI188" s="8">
        <v>7.14</v>
      </c>
      <c r="AJ188" s="8">
        <v>122.5</v>
      </c>
      <c r="AK188" s="8">
        <v>108</v>
      </c>
      <c r="AL188" s="8">
        <v>32.5</v>
      </c>
      <c r="AM188" s="8">
        <v>18</v>
      </c>
      <c r="AN188" s="8">
        <v>53.71</v>
      </c>
      <c r="AO188" s="8">
        <v>219</v>
      </c>
      <c r="AP188" s="8">
        <v>560.85</v>
      </c>
      <c r="AQ188" s="8">
        <v>0</v>
      </c>
      <c r="AR188" s="8">
        <v>0</v>
      </c>
      <c r="AS188" s="8">
        <v>0</v>
      </c>
      <c r="AT188" s="8">
        <v>0</v>
      </c>
      <c r="AU188" s="8">
        <v>50.59</v>
      </c>
      <c r="AV188" s="8">
        <v>50.59</v>
      </c>
      <c r="AW188" s="6"/>
      <c r="AX188" s="6"/>
      <c r="AY188" s="6"/>
      <c r="AZ188" s="6"/>
      <c r="BA188" s="8">
        <v>222.6</v>
      </c>
      <c r="BB188" s="8">
        <v>222.6</v>
      </c>
      <c r="BC188" s="8">
        <v>6.1</v>
      </c>
      <c r="BD188" s="8">
        <v>6.1</v>
      </c>
      <c r="BE188" s="8">
        <v>1</v>
      </c>
      <c r="BF188" s="6"/>
      <c r="BG188" s="8">
        <v>1</v>
      </c>
      <c r="BH188" s="6"/>
      <c r="BI188" s="6"/>
      <c r="BJ188" s="6"/>
      <c r="BK188" s="6"/>
      <c r="BL188" s="8">
        <v>2975.8</v>
      </c>
      <c r="BM188" s="6"/>
      <c r="BN188" s="8">
        <v>7.65</v>
      </c>
      <c r="BO188" s="8">
        <v>2.5</v>
      </c>
      <c r="BP188" s="6"/>
      <c r="BQ188" s="8">
        <v>14</v>
      </c>
      <c r="BR188" s="8">
        <v>24.15</v>
      </c>
      <c r="BS188" s="8">
        <v>24.15</v>
      </c>
      <c r="BT188" s="6"/>
      <c r="BU188" s="6"/>
      <c r="BV188" s="6"/>
      <c r="BW188" s="6"/>
      <c r="BX188" s="6"/>
      <c r="BY188" s="6"/>
      <c r="BZ188" s="6"/>
      <c r="CA188" s="6"/>
      <c r="CB188" s="6"/>
      <c r="CC188" s="6"/>
      <c r="CD188" s="6"/>
      <c r="CE188" s="6"/>
      <c r="CF188" s="6"/>
      <c r="CG188" s="9">
        <v>2999.95</v>
      </c>
    </row>
    <row r="189" spans="1:85" x14ac:dyDescent="0.3">
      <c r="A189" s="3" t="str">
        <f t="shared" si="4"/>
        <v>NON ADDNSTC Crosscuts (excl. HSA)National Nanotechnology Initiative (NNI)Total</v>
      </c>
      <c r="B189" s="6" t="s">
        <v>223</v>
      </c>
      <c r="C189" s="6" t="s">
        <v>260</v>
      </c>
      <c r="D189" s="6" t="s">
        <v>261</v>
      </c>
      <c r="E189" s="6" t="s">
        <v>24</v>
      </c>
      <c r="F189" s="6"/>
      <c r="G189" s="6"/>
      <c r="H189" s="6"/>
      <c r="I189" s="6"/>
      <c r="J189" s="6"/>
      <c r="K189" s="8">
        <v>39.950000000000003</v>
      </c>
      <c r="L189" s="8">
        <v>39.950000000000003</v>
      </c>
      <c r="M189" s="6"/>
      <c r="N189" s="6"/>
      <c r="O189" s="6"/>
      <c r="P189" s="6"/>
      <c r="Q189" s="6"/>
      <c r="R189" s="8">
        <v>14.05</v>
      </c>
      <c r="S189" s="8">
        <v>14.05</v>
      </c>
      <c r="T189" s="6"/>
      <c r="U189" s="6"/>
      <c r="V189" s="6"/>
      <c r="W189" s="6"/>
      <c r="X189" s="6"/>
      <c r="Y189" s="6"/>
      <c r="Z189" s="8">
        <v>190.95</v>
      </c>
      <c r="AA189" s="8">
        <v>190.95</v>
      </c>
      <c r="AB189" s="6"/>
      <c r="AC189" s="6"/>
      <c r="AD189" s="6"/>
      <c r="AE189" s="6"/>
      <c r="AF189" s="8">
        <v>0</v>
      </c>
      <c r="AG189" s="6"/>
      <c r="AH189" s="8">
        <v>0</v>
      </c>
      <c r="AI189" s="6"/>
      <c r="AJ189" s="8">
        <v>38.5</v>
      </c>
      <c r="AK189" s="8">
        <v>78.5</v>
      </c>
      <c r="AL189" s="8">
        <v>0.5</v>
      </c>
      <c r="AM189" s="8">
        <v>0</v>
      </c>
      <c r="AN189" s="8">
        <v>9</v>
      </c>
      <c r="AO189" s="8">
        <v>50</v>
      </c>
      <c r="AP189" s="8">
        <v>176.5</v>
      </c>
      <c r="AQ189" s="8">
        <v>0</v>
      </c>
      <c r="AR189" s="6"/>
      <c r="AS189" s="6"/>
      <c r="AT189" s="8">
        <v>0</v>
      </c>
      <c r="AU189" s="8">
        <v>0.4</v>
      </c>
      <c r="AV189" s="8">
        <v>0.4</v>
      </c>
      <c r="AW189" s="6"/>
      <c r="AX189" s="6"/>
      <c r="AY189" s="6"/>
      <c r="AZ189" s="6"/>
      <c r="BA189" s="6"/>
      <c r="BB189" s="6"/>
      <c r="BC189" s="8">
        <v>0.1</v>
      </c>
      <c r="BD189" s="8">
        <v>0.1</v>
      </c>
      <c r="BE189" s="6"/>
      <c r="BF189" s="6"/>
      <c r="BG189" s="6"/>
      <c r="BH189" s="6"/>
      <c r="BI189" s="6"/>
      <c r="BJ189" s="6"/>
      <c r="BK189" s="6"/>
      <c r="BL189" s="8">
        <v>421.95</v>
      </c>
      <c r="BM189" s="6"/>
      <c r="BN189" s="6"/>
      <c r="BO189" s="8">
        <v>2.5</v>
      </c>
      <c r="BP189" s="6"/>
      <c r="BQ189" s="8">
        <v>0</v>
      </c>
      <c r="BR189" s="8">
        <v>2.5</v>
      </c>
      <c r="BS189" s="8">
        <v>2.5</v>
      </c>
      <c r="BT189" s="6"/>
      <c r="BU189" s="6"/>
      <c r="BV189" s="6"/>
      <c r="BW189" s="6"/>
      <c r="BX189" s="6"/>
      <c r="BY189" s="6"/>
      <c r="BZ189" s="6"/>
      <c r="CA189" s="6"/>
      <c r="CB189" s="6"/>
      <c r="CC189" s="6"/>
      <c r="CD189" s="6"/>
      <c r="CE189" s="6"/>
      <c r="CF189" s="6"/>
      <c r="CG189" s="9">
        <v>424.45</v>
      </c>
    </row>
    <row r="190" spans="1:85" x14ac:dyDescent="0.3">
      <c r="A190" s="3" t="str">
        <f t="shared" si="4"/>
        <v>NON ADDNSTC Crosscuts (excl. HSA)National Nanotechnology Initiative (NNI)NNI-Education and Workforce Development</v>
      </c>
      <c r="B190" s="6" t="s">
        <v>223</v>
      </c>
      <c r="C190" s="6" t="s">
        <v>260</v>
      </c>
      <c r="D190" s="6" t="s">
        <v>261</v>
      </c>
      <c r="E190" s="6" t="s">
        <v>262</v>
      </c>
      <c r="F190" s="6"/>
      <c r="G190" s="6"/>
      <c r="H190" s="6"/>
      <c r="I190" s="6"/>
      <c r="J190" s="6"/>
      <c r="K190" s="6"/>
      <c r="L190" s="6"/>
      <c r="M190" s="6"/>
      <c r="N190" s="6"/>
      <c r="O190" s="6"/>
      <c r="P190" s="6"/>
      <c r="Q190" s="6"/>
      <c r="R190" s="6"/>
      <c r="S190" s="6"/>
      <c r="T190" s="6"/>
      <c r="U190" s="6"/>
      <c r="V190" s="6"/>
      <c r="W190" s="6"/>
      <c r="X190" s="6"/>
      <c r="Y190" s="6"/>
      <c r="Z190" s="8">
        <v>17.5</v>
      </c>
      <c r="AA190" s="8">
        <v>17.5</v>
      </c>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8">
        <v>17.5</v>
      </c>
      <c r="BM190" s="6"/>
      <c r="BN190" s="6"/>
      <c r="BO190" s="8">
        <v>1.5</v>
      </c>
      <c r="BP190" s="6"/>
      <c r="BQ190" s="6"/>
      <c r="BR190" s="8">
        <v>1.5</v>
      </c>
      <c r="BS190" s="8">
        <v>1.5</v>
      </c>
      <c r="BT190" s="6"/>
      <c r="BU190" s="6"/>
      <c r="BV190" s="6"/>
      <c r="BW190" s="6"/>
      <c r="BX190" s="6"/>
      <c r="BY190" s="6"/>
      <c r="BZ190" s="6"/>
      <c r="CA190" s="6"/>
      <c r="CB190" s="6"/>
      <c r="CC190" s="6"/>
      <c r="CD190" s="6"/>
      <c r="CE190" s="6"/>
      <c r="CF190" s="6"/>
      <c r="CG190" s="9">
        <v>19</v>
      </c>
    </row>
    <row r="191" spans="1:85" x14ac:dyDescent="0.3">
      <c r="A191" s="3" t="str">
        <f t="shared" si="4"/>
        <v>NON ADDNSTC Crosscuts (excl. HSA)National Nanotechnology Initiative (NNI)NNI-Foundational Research</v>
      </c>
      <c r="B191" s="6" t="s">
        <v>223</v>
      </c>
      <c r="C191" s="6" t="s">
        <v>260</v>
      </c>
      <c r="D191" s="6" t="s">
        <v>261</v>
      </c>
      <c r="E191" s="6" t="s">
        <v>263</v>
      </c>
      <c r="F191" s="6"/>
      <c r="G191" s="6"/>
      <c r="H191" s="6"/>
      <c r="I191" s="6"/>
      <c r="J191" s="6"/>
      <c r="K191" s="8">
        <v>37.6</v>
      </c>
      <c r="L191" s="8">
        <v>37.6</v>
      </c>
      <c r="M191" s="6"/>
      <c r="N191" s="6"/>
      <c r="O191" s="6"/>
      <c r="P191" s="6"/>
      <c r="Q191" s="6"/>
      <c r="R191" s="8">
        <v>9.1999999999999993</v>
      </c>
      <c r="S191" s="8">
        <v>9.1999999999999993</v>
      </c>
      <c r="T191" s="6"/>
      <c r="U191" s="6"/>
      <c r="V191" s="6"/>
      <c r="W191" s="6"/>
      <c r="X191" s="6"/>
      <c r="Y191" s="6"/>
      <c r="Z191" s="8">
        <v>79</v>
      </c>
      <c r="AA191" s="8">
        <v>79</v>
      </c>
      <c r="AB191" s="6"/>
      <c r="AC191" s="6"/>
      <c r="AD191" s="6"/>
      <c r="AE191" s="6"/>
      <c r="AF191" s="6"/>
      <c r="AG191" s="6"/>
      <c r="AH191" s="6"/>
      <c r="AI191" s="6"/>
      <c r="AJ191" s="8">
        <v>33</v>
      </c>
      <c r="AK191" s="8">
        <v>71</v>
      </c>
      <c r="AL191" s="8">
        <v>0.5</v>
      </c>
      <c r="AM191" s="8">
        <v>0</v>
      </c>
      <c r="AN191" s="8">
        <v>9</v>
      </c>
      <c r="AO191" s="8">
        <v>50</v>
      </c>
      <c r="AP191" s="8">
        <v>163.5</v>
      </c>
      <c r="AQ191" s="8">
        <v>0</v>
      </c>
      <c r="AR191" s="6"/>
      <c r="AS191" s="6"/>
      <c r="AT191" s="8">
        <v>0</v>
      </c>
      <c r="AU191" s="6"/>
      <c r="AV191" s="8">
        <v>0</v>
      </c>
      <c r="AW191" s="6"/>
      <c r="AX191" s="6"/>
      <c r="AY191" s="6"/>
      <c r="AZ191" s="6"/>
      <c r="BA191" s="6"/>
      <c r="BB191" s="6"/>
      <c r="BC191" s="6"/>
      <c r="BD191" s="6"/>
      <c r="BE191" s="6"/>
      <c r="BF191" s="6"/>
      <c r="BG191" s="6"/>
      <c r="BH191" s="6"/>
      <c r="BI191" s="6"/>
      <c r="BJ191" s="6"/>
      <c r="BK191" s="6"/>
      <c r="BL191" s="8">
        <v>289.3</v>
      </c>
      <c r="BM191" s="6"/>
      <c r="BN191" s="6"/>
      <c r="BO191" s="6"/>
      <c r="BP191" s="6"/>
      <c r="BQ191" s="6"/>
      <c r="BR191" s="6"/>
      <c r="BS191" s="6"/>
      <c r="BT191" s="6"/>
      <c r="BU191" s="6"/>
      <c r="BV191" s="6"/>
      <c r="BW191" s="6"/>
      <c r="BX191" s="6"/>
      <c r="BY191" s="6"/>
      <c r="BZ191" s="6"/>
      <c r="CA191" s="6"/>
      <c r="CB191" s="6"/>
      <c r="CC191" s="6"/>
      <c r="CD191" s="6"/>
      <c r="CE191" s="6"/>
      <c r="CF191" s="6"/>
      <c r="CG191" s="9">
        <v>289.3</v>
      </c>
    </row>
    <row r="192" spans="1:85" x14ac:dyDescent="0.3">
      <c r="A192" s="3" t="str">
        <f t="shared" si="4"/>
        <v>NON ADDNSTC Crosscuts (excl. HSA)National Nanotechnology Initiative (NNI)NNI-Nanotechnology-Enabled Applications, Devices, and Systems</v>
      </c>
      <c r="B192" s="6" t="s">
        <v>223</v>
      </c>
      <c r="C192" s="6" t="s">
        <v>260</v>
      </c>
      <c r="D192" s="6" t="s">
        <v>261</v>
      </c>
      <c r="E192" s="6" t="s">
        <v>264</v>
      </c>
      <c r="F192" s="6"/>
      <c r="G192" s="6"/>
      <c r="H192" s="6"/>
      <c r="I192" s="6"/>
      <c r="J192" s="6"/>
      <c r="K192" s="6"/>
      <c r="L192" s="6"/>
      <c r="M192" s="6"/>
      <c r="N192" s="6"/>
      <c r="O192" s="6"/>
      <c r="P192" s="6"/>
      <c r="Q192" s="6"/>
      <c r="R192" s="8">
        <v>3.95</v>
      </c>
      <c r="S192" s="8">
        <v>3.95</v>
      </c>
      <c r="T192" s="6"/>
      <c r="U192" s="6"/>
      <c r="V192" s="6"/>
      <c r="W192" s="6"/>
      <c r="X192" s="6"/>
      <c r="Y192" s="6"/>
      <c r="Z192" s="8">
        <v>70</v>
      </c>
      <c r="AA192" s="8">
        <v>70</v>
      </c>
      <c r="AB192" s="6"/>
      <c r="AC192" s="6"/>
      <c r="AD192" s="6"/>
      <c r="AE192" s="6"/>
      <c r="AF192" s="6"/>
      <c r="AG192" s="6"/>
      <c r="AH192" s="6"/>
      <c r="AI192" s="6"/>
      <c r="AJ192" s="8">
        <v>3.5</v>
      </c>
      <c r="AK192" s="8">
        <v>2</v>
      </c>
      <c r="AL192" s="6"/>
      <c r="AM192" s="8">
        <v>0</v>
      </c>
      <c r="AN192" s="6"/>
      <c r="AO192" s="6"/>
      <c r="AP192" s="8">
        <v>5.5</v>
      </c>
      <c r="AQ192" s="6"/>
      <c r="AR192" s="6"/>
      <c r="AS192" s="6"/>
      <c r="AT192" s="6"/>
      <c r="AU192" s="6"/>
      <c r="AV192" s="6"/>
      <c r="AW192" s="6"/>
      <c r="AX192" s="6"/>
      <c r="AY192" s="6"/>
      <c r="AZ192" s="6"/>
      <c r="BA192" s="6"/>
      <c r="BB192" s="6"/>
      <c r="BC192" s="6"/>
      <c r="BD192" s="6"/>
      <c r="BE192" s="6"/>
      <c r="BF192" s="6"/>
      <c r="BG192" s="6"/>
      <c r="BH192" s="6"/>
      <c r="BI192" s="6"/>
      <c r="BJ192" s="6"/>
      <c r="BK192" s="6"/>
      <c r="BL192" s="8">
        <v>79.45</v>
      </c>
      <c r="BM192" s="6"/>
      <c r="BN192" s="6"/>
      <c r="BO192" s="6"/>
      <c r="BP192" s="6"/>
      <c r="BQ192" s="6"/>
      <c r="BR192" s="6"/>
      <c r="BS192" s="6"/>
      <c r="BT192" s="6"/>
      <c r="BU192" s="6"/>
      <c r="BV192" s="6"/>
      <c r="BW192" s="6"/>
      <c r="BX192" s="6"/>
      <c r="BY192" s="6"/>
      <c r="BZ192" s="6"/>
      <c r="CA192" s="6"/>
      <c r="CB192" s="6"/>
      <c r="CC192" s="6"/>
      <c r="CD192" s="6"/>
      <c r="CE192" s="6"/>
      <c r="CF192" s="6"/>
      <c r="CG192" s="9">
        <v>79.45</v>
      </c>
    </row>
    <row r="193" spans="1:85" x14ac:dyDescent="0.3">
      <c r="A193" s="3" t="str">
        <f t="shared" si="4"/>
        <v>NON ADDNSTC Crosscuts (excl. HSA)National Nanotechnology Initiative (NNI)NNI-Research Infrastructure and Instrumentation</v>
      </c>
      <c r="B193" s="6" t="s">
        <v>223</v>
      </c>
      <c r="C193" s="6" t="s">
        <v>260</v>
      </c>
      <c r="D193" s="6" t="s">
        <v>261</v>
      </c>
      <c r="E193" s="6" t="s">
        <v>265</v>
      </c>
      <c r="F193" s="6"/>
      <c r="G193" s="6"/>
      <c r="H193" s="6"/>
      <c r="I193" s="6"/>
      <c r="J193" s="6"/>
      <c r="K193" s="8">
        <v>2.35</v>
      </c>
      <c r="L193" s="8">
        <v>2.35</v>
      </c>
      <c r="M193" s="6"/>
      <c r="N193" s="6"/>
      <c r="O193" s="6"/>
      <c r="P193" s="6"/>
      <c r="Q193" s="6"/>
      <c r="R193" s="8">
        <v>0.9</v>
      </c>
      <c r="S193" s="8">
        <v>0.9</v>
      </c>
      <c r="T193" s="6"/>
      <c r="U193" s="6"/>
      <c r="V193" s="6"/>
      <c r="W193" s="6"/>
      <c r="X193" s="6"/>
      <c r="Y193" s="6"/>
      <c r="Z193" s="8">
        <v>12</v>
      </c>
      <c r="AA193" s="8">
        <v>12</v>
      </c>
      <c r="AB193" s="6"/>
      <c r="AC193" s="6"/>
      <c r="AD193" s="6"/>
      <c r="AE193" s="6"/>
      <c r="AF193" s="8">
        <v>0</v>
      </c>
      <c r="AG193" s="6"/>
      <c r="AH193" s="8">
        <v>0</v>
      </c>
      <c r="AI193" s="6"/>
      <c r="AJ193" s="8">
        <v>0.5</v>
      </c>
      <c r="AK193" s="8">
        <v>5</v>
      </c>
      <c r="AL193" s="6"/>
      <c r="AM193" s="6"/>
      <c r="AN193" s="8">
        <v>0</v>
      </c>
      <c r="AO193" s="6"/>
      <c r="AP193" s="8">
        <v>5.5</v>
      </c>
      <c r="AQ193" s="6"/>
      <c r="AR193" s="6"/>
      <c r="AS193" s="6"/>
      <c r="AT193" s="8">
        <v>0</v>
      </c>
      <c r="AU193" s="8">
        <v>0.4</v>
      </c>
      <c r="AV193" s="8">
        <v>0.4</v>
      </c>
      <c r="AW193" s="6"/>
      <c r="AX193" s="6"/>
      <c r="AY193" s="6"/>
      <c r="AZ193" s="6"/>
      <c r="BA193" s="6"/>
      <c r="BB193" s="6"/>
      <c r="BC193" s="8">
        <v>0.1</v>
      </c>
      <c r="BD193" s="8">
        <v>0.1</v>
      </c>
      <c r="BE193" s="6"/>
      <c r="BF193" s="6"/>
      <c r="BG193" s="6"/>
      <c r="BH193" s="6"/>
      <c r="BI193" s="6"/>
      <c r="BJ193" s="6"/>
      <c r="BK193" s="6"/>
      <c r="BL193" s="8">
        <v>21.25</v>
      </c>
      <c r="BM193" s="6"/>
      <c r="BN193" s="6"/>
      <c r="BO193" s="8">
        <v>1</v>
      </c>
      <c r="BP193" s="6"/>
      <c r="BQ193" s="8">
        <v>0</v>
      </c>
      <c r="BR193" s="8">
        <v>1</v>
      </c>
      <c r="BS193" s="8">
        <v>1</v>
      </c>
      <c r="BT193" s="6"/>
      <c r="BU193" s="6"/>
      <c r="BV193" s="6"/>
      <c r="BW193" s="6"/>
      <c r="BX193" s="6"/>
      <c r="BY193" s="6"/>
      <c r="BZ193" s="6"/>
      <c r="CA193" s="6"/>
      <c r="CB193" s="6"/>
      <c r="CC193" s="6"/>
      <c r="CD193" s="6"/>
      <c r="CE193" s="6"/>
      <c r="CF193" s="6"/>
      <c r="CG193" s="9">
        <v>22.25</v>
      </c>
    </row>
    <row r="194" spans="1:85" x14ac:dyDescent="0.3">
      <c r="A194" s="3" t="str">
        <f t="shared" si="4"/>
        <v>NON ADDNSTC Crosscuts (excl. HSA)National Nanotechnology Initiative (NNI)NNI-Responsible Development</v>
      </c>
      <c r="B194" s="6" t="s">
        <v>223</v>
      </c>
      <c r="C194" s="6" t="s">
        <v>260</v>
      </c>
      <c r="D194" s="6" t="s">
        <v>261</v>
      </c>
      <c r="E194" s="6" t="s">
        <v>266</v>
      </c>
      <c r="F194" s="6"/>
      <c r="G194" s="6"/>
      <c r="H194" s="6"/>
      <c r="I194" s="6"/>
      <c r="J194" s="6"/>
      <c r="K194" s="6"/>
      <c r="L194" s="6"/>
      <c r="M194" s="6"/>
      <c r="N194" s="6"/>
      <c r="O194" s="6"/>
      <c r="P194" s="6"/>
      <c r="Q194" s="6"/>
      <c r="R194" s="6"/>
      <c r="S194" s="6"/>
      <c r="T194" s="6"/>
      <c r="U194" s="6"/>
      <c r="V194" s="6"/>
      <c r="W194" s="6"/>
      <c r="X194" s="6"/>
      <c r="Y194" s="6"/>
      <c r="Z194" s="8">
        <v>12.45</v>
      </c>
      <c r="AA194" s="8">
        <v>12.45</v>
      </c>
      <c r="AB194" s="6"/>
      <c r="AC194" s="6"/>
      <c r="AD194" s="6"/>
      <c r="AE194" s="6"/>
      <c r="AF194" s="6"/>
      <c r="AG194" s="6"/>
      <c r="AH194" s="6"/>
      <c r="AI194" s="6"/>
      <c r="AJ194" s="8">
        <v>1.5</v>
      </c>
      <c r="AK194" s="8">
        <v>0.5</v>
      </c>
      <c r="AL194" s="6"/>
      <c r="AM194" s="6"/>
      <c r="AN194" s="6"/>
      <c r="AO194" s="6"/>
      <c r="AP194" s="8">
        <v>2</v>
      </c>
      <c r="AQ194" s="6"/>
      <c r="AR194" s="6"/>
      <c r="AS194" s="6"/>
      <c r="AT194" s="6"/>
      <c r="AU194" s="6"/>
      <c r="AV194" s="6"/>
      <c r="AW194" s="6"/>
      <c r="AX194" s="6"/>
      <c r="AY194" s="6"/>
      <c r="AZ194" s="6"/>
      <c r="BA194" s="6"/>
      <c r="BB194" s="6"/>
      <c r="BC194" s="6"/>
      <c r="BD194" s="6"/>
      <c r="BE194" s="6"/>
      <c r="BF194" s="6"/>
      <c r="BG194" s="6"/>
      <c r="BH194" s="6"/>
      <c r="BI194" s="6"/>
      <c r="BJ194" s="6"/>
      <c r="BK194" s="6"/>
      <c r="BL194" s="8">
        <v>14.45</v>
      </c>
      <c r="BM194" s="6"/>
      <c r="BN194" s="6"/>
      <c r="BO194" s="6"/>
      <c r="BP194" s="6"/>
      <c r="BQ194" s="6"/>
      <c r="BR194" s="6"/>
      <c r="BS194" s="6"/>
      <c r="BT194" s="6"/>
      <c r="BU194" s="6"/>
      <c r="BV194" s="6"/>
      <c r="BW194" s="6"/>
      <c r="BX194" s="6"/>
      <c r="BY194" s="6"/>
      <c r="BZ194" s="6"/>
      <c r="CA194" s="6"/>
      <c r="CB194" s="6"/>
      <c r="CC194" s="6"/>
      <c r="CD194" s="6"/>
      <c r="CE194" s="6"/>
      <c r="CF194" s="6"/>
      <c r="CG194" s="9">
        <v>14.45</v>
      </c>
    </row>
    <row r="195" spans="1:85" x14ac:dyDescent="0.3">
      <c r="A195" s="3" t="str">
        <f t="shared" si="4"/>
        <v>NON ADDNSTC Crosscuts (excl. HSA)Networking &amp; Information Technology R&amp;D (NITRD)Total</v>
      </c>
      <c r="B195" s="6" t="s">
        <v>223</v>
      </c>
      <c r="C195" s="6" t="s">
        <v>260</v>
      </c>
      <c r="D195" s="6" t="s">
        <v>267</v>
      </c>
      <c r="E195" s="6" t="s">
        <v>24</v>
      </c>
      <c r="F195" s="6"/>
      <c r="G195" s="6"/>
      <c r="H195" s="6"/>
      <c r="I195" s="6"/>
      <c r="J195" s="6"/>
      <c r="K195" s="8">
        <v>79</v>
      </c>
      <c r="L195" s="8">
        <v>79</v>
      </c>
      <c r="M195" s="6"/>
      <c r="N195" s="6"/>
      <c r="O195" s="6"/>
      <c r="P195" s="6"/>
      <c r="Q195" s="6"/>
      <c r="R195" s="8">
        <v>1015.57</v>
      </c>
      <c r="S195" s="8">
        <v>1015.57</v>
      </c>
      <c r="T195" s="6"/>
      <c r="U195" s="6"/>
      <c r="V195" s="6"/>
      <c r="W195" s="6"/>
      <c r="X195" s="6"/>
      <c r="Y195" s="6"/>
      <c r="Z195" s="8">
        <v>154.97999999999999</v>
      </c>
      <c r="AA195" s="8">
        <v>154.97999999999999</v>
      </c>
      <c r="AB195" s="6"/>
      <c r="AC195" s="6"/>
      <c r="AD195" s="6"/>
      <c r="AE195" s="6"/>
      <c r="AF195" s="6"/>
      <c r="AG195" s="8">
        <v>27</v>
      </c>
      <c r="AH195" s="8">
        <v>27</v>
      </c>
      <c r="AI195" s="8">
        <v>7.14</v>
      </c>
      <c r="AJ195" s="8">
        <v>76</v>
      </c>
      <c r="AK195" s="8">
        <v>29.5</v>
      </c>
      <c r="AL195" s="8">
        <v>28</v>
      </c>
      <c r="AM195" s="8">
        <v>18</v>
      </c>
      <c r="AN195" s="8">
        <v>44.71</v>
      </c>
      <c r="AO195" s="6"/>
      <c r="AP195" s="8">
        <v>203.35</v>
      </c>
      <c r="AQ195" s="8">
        <v>0</v>
      </c>
      <c r="AR195" s="8">
        <v>0</v>
      </c>
      <c r="AS195" s="8">
        <v>0</v>
      </c>
      <c r="AT195" s="8">
        <v>0</v>
      </c>
      <c r="AU195" s="8">
        <v>30.94</v>
      </c>
      <c r="AV195" s="8">
        <v>30.94</v>
      </c>
      <c r="AW195" s="6"/>
      <c r="AX195" s="6"/>
      <c r="AY195" s="6"/>
      <c r="AZ195" s="6"/>
      <c r="BA195" s="8">
        <v>197.6</v>
      </c>
      <c r="BB195" s="8">
        <v>197.6</v>
      </c>
      <c r="BC195" s="6"/>
      <c r="BD195" s="6"/>
      <c r="BE195" s="8">
        <v>1</v>
      </c>
      <c r="BF195" s="6"/>
      <c r="BG195" s="8">
        <v>1</v>
      </c>
      <c r="BH195" s="6"/>
      <c r="BI195" s="6"/>
      <c r="BJ195" s="6"/>
      <c r="BK195" s="6"/>
      <c r="BL195" s="8">
        <v>1709.44</v>
      </c>
      <c r="BM195" s="6"/>
      <c r="BN195" s="8">
        <v>7.65</v>
      </c>
      <c r="BO195" s="6"/>
      <c r="BP195" s="6"/>
      <c r="BQ195" s="8">
        <v>10</v>
      </c>
      <c r="BR195" s="8">
        <v>17.649999999999999</v>
      </c>
      <c r="BS195" s="8">
        <v>17.649999999999999</v>
      </c>
      <c r="BT195" s="6"/>
      <c r="BU195" s="6"/>
      <c r="BV195" s="6"/>
      <c r="BW195" s="6"/>
      <c r="BX195" s="6"/>
      <c r="BY195" s="6"/>
      <c r="BZ195" s="6"/>
      <c r="CA195" s="6"/>
      <c r="CB195" s="6"/>
      <c r="CC195" s="6"/>
      <c r="CD195" s="6"/>
      <c r="CE195" s="6"/>
      <c r="CF195" s="6"/>
      <c r="CG195" s="9">
        <v>1727.09</v>
      </c>
    </row>
    <row r="196" spans="1:85" x14ac:dyDescent="0.3">
      <c r="A196" s="3" t="str">
        <f t="shared" si="4"/>
        <v>NON ADDNSTC Crosscuts (excl. HSA)Networking &amp; Information Technology R&amp;D (NITRD)NITRD-ACNS-Advanced Communication Networks and Systems</v>
      </c>
      <c r="B196" s="6" t="s">
        <v>223</v>
      </c>
      <c r="C196" s="6" t="s">
        <v>260</v>
      </c>
      <c r="D196" s="6" t="s">
        <v>267</v>
      </c>
      <c r="E196" s="6" t="s">
        <v>268</v>
      </c>
      <c r="F196" s="6"/>
      <c r="G196" s="6"/>
      <c r="H196" s="6"/>
      <c r="I196" s="6"/>
      <c r="J196" s="6"/>
      <c r="K196" s="6"/>
      <c r="L196" s="6"/>
      <c r="M196" s="6"/>
      <c r="N196" s="6"/>
      <c r="O196" s="6"/>
      <c r="P196" s="6"/>
      <c r="Q196" s="6"/>
      <c r="R196" s="8">
        <v>139.61000000000001</v>
      </c>
      <c r="S196" s="8">
        <v>139.61000000000001</v>
      </c>
      <c r="T196" s="6"/>
      <c r="U196" s="6"/>
      <c r="V196" s="6"/>
      <c r="W196" s="6"/>
      <c r="X196" s="6"/>
      <c r="Y196" s="6"/>
      <c r="Z196" s="8">
        <v>23.45</v>
      </c>
      <c r="AA196" s="8">
        <v>23.45</v>
      </c>
      <c r="AB196" s="6"/>
      <c r="AC196" s="6"/>
      <c r="AD196" s="6"/>
      <c r="AE196" s="6"/>
      <c r="AF196" s="6"/>
      <c r="AG196" s="6"/>
      <c r="AH196" s="6"/>
      <c r="AI196" s="6"/>
      <c r="AJ196" s="6"/>
      <c r="AK196" s="6"/>
      <c r="AL196" s="6"/>
      <c r="AM196" s="8">
        <v>17</v>
      </c>
      <c r="AN196" s="6"/>
      <c r="AO196" s="6"/>
      <c r="AP196" s="8">
        <v>17</v>
      </c>
      <c r="AQ196" s="6"/>
      <c r="AR196" s="6"/>
      <c r="AS196" s="6"/>
      <c r="AT196" s="6"/>
      <c r="AU196" s="8">
        <v>0</v>
      </c>
      <c r="AV196" s="8">
        <v>0</v>
      </c>
      <c r="AW196" s="6"/>
      <c r="AX196" s="6"/>
      <c r="AY196" s="6"/>
      <c r="AZ196" s="6"/>
      <c r="BA196" s="8">
        <v>1</v>
      </c>
      <c r="BB196" s="8">
        <v>1</v>
      </c>
      <c r="BC196" s="6"/>
      <c r="BD196" s="6"/>
      <c r="BE196" s="6"/>
      <c r="BF196" s="6"/>
      <c r="BG196" s="6"/>
      <c r="BH196" s="6"/>
      <c r="BI196" s="6"/>
      <c r="BJ196" s="6"/>
      <c r="BK196" s="6"/>
      <c r="BL196" s="8">
        <v>181.06</v>
      </c>
      <c r="BM196" s="6"/>
      <c r="BN196" s="6"/>
      <c r="BO196" s="6"/>
      <c r="BP196" s="6"/>
      <c r="BQ196" s="6"/>
      <c r="BR196" s="6"/>
      <c r="BS196" s="6"/>
      <c r="BT196" s="6"/>
      <c r="BU196" s="6"/>
      <c r="BV196" s="6"/>
      <c r="BW196" s="6"/>
      <c r="BX196" s="6"/>
      <c r="BY196" s="6"/>
      <c r="BZ196" s="6"/>
      <c r="CA196" s="6"/>
      <c r="CB196" s="6"/>
      <c r="CC196" s="6"/>
      <c r="CD196" s="6"/>
      <c r="CE196" s="6"/>
      <c r="CF196" s="6"/>
      <c r="CG196" s="9">
        <v>181.06</v>
      </c>
    </row>
    <row r="197" spans="1:85" x14ac:dyDescent="0.3">
      <c r="A197" s="3" t="str">
        <f t="shared" si="4"/>
        <v>NON ADDNSTC Crosscuts (excl. HSA)Networking &amp; Information Technology R&amp;D (NITRD)NITRD-AI-Artificial Intelligence</v>
      </c>
      <c r="B197" s="6" t="s">
        <v>223</v>
      </c>
      <c r="C197" s="6" t="s">
        <v>260</v>
      </c>
      <c r="D197" s="6" t="s">
        <v>267</v>
      </c>
      <c r="E197" s="6" t="s">
        <v>269</v>
      </c>
      <c r="F197" s="6"/>
      <c r="G197" s="6"/>
      <c r="H197" s="6"/>
      <c r="I197" s="6"/>
      <c r="J197" s="6"/>
      <c r="K197" s="8">
        <v>12</v>
      </c>
      <c r="L197" s="8">
        <v>12</v>
      </c>
      <c r="M197" s="6"/>
      <c r="N197" s="6"/>
      <c r="O197" s="6"/>
      <c r="P197" s="6"/>
      <c r="Q197" s="6"/>
      <c r="R197" s="8">
        <v>158.36000000000001</v>
      </c>
      <c r="S197" s="8">
        <v>158.36000000000001</v>
      </c>
      <c r="T197" s="6"/>
      <c r="U197" s="6"/>
      <c r="V197" s="6"/>
      <c r="W197" s="6"/>
      <c r="X197" s="6"/>
      <c r="Y197" s="6"/>
      <c r="Z197" s="8">
        <v>75.95</v>
      </c>
      <c r="AA197" s="8">
        <v>75.95</v>
      </c>
      <c r="AB197" s="6"/>
      <c r="AC197" s="6"/>
      <c r="AD197" s="6"/>
      <c r="AE197" s="6"/>
      <c r="AF197" s="6"/>
      <c r="AG197" s="8">
        <v>5</v>
      </c>
      <c r="AH197" s="8">
        <v>5</v>
      </c>
      <c r="AI197" s="8">
        <v>2</v>
      </c>
      <c r="AJ197" s="8">
        <v>10</v>
      </c>
      <c r="AK197" s="8">
        <v>23</v>
      </c>
      <c r="AL197" s="8">
        <v>18</v>
      </c>
      <c r="AM197" s="8">
        <v>1</v>
      </c>
      <c r="AN197" s="8">
        <v>20.71</v>
      </c>
      <c r="AO197" s="6"/>
      <c r="AP197" s="8">
        <v>74.709999999999994</v>
      </c>
      <c r="AQ197" s="6"/>
      <c r="AR197" s="6"/>
      <c r="AS197" s="6"/>
      <c r="AT197" s="6"/>
      <c r="AU197" s="8">
        <v>3.87</v>
      </c>
      <c r="AV197" s="8">
        <v>3.87</v>
      </c>
      <c r="AW197" s="6"/>
      <c r="AX197" s="6"/>
      <c r="AY197" s="6"/>
      <c r="AZ197" s="6"/>
      <c r="BA197" s="8">
        <v>100</v>
      </c>
      <c r="BB197" s="8">
        <v>100</v>
      </c>
      <c r="BC197" s="6"/>
      <c r="BD197" s="6"/>
      <c r="BE197" s="8">
        <v>1</v>
      </c>
      <c r="BF197" s="6"/>
      <c r="BG197" s="8">
        <v>1</v>
      </c>
      <c r="BH197" s="6"/>
      <c r="BI197" s="6"/>
      <c r="BJ197" s="6"/>
      <c r="BK197" s="6"/>
      <c r="BL197" s="8">
        <v>430.89</v>
      </c>
      <c r="BM197" s="6"/>
      <c r="BN197" s="8">
        <v>7.65</v>
      </c>
      <c r="BO197" s="6"/>
      <c r="BP197" s="6"/>
      <c r="BQ197" s="6"/>
      <c r="BR197" s="8">
        <v>7.65</v>
      </c>
      <c r="BS197" s="8">
        <v>7.65</v>
      </c>
      <c r="BT197" s="6"/>
      <c r="BU197" s="6"/>
      <c r="BV197" s="6"/>
      <c r="BW197" s="6"/>
      <c r="BX197" s="6"/>
      <c r="BY197" s="6"/>
      <c r="BZ197" s="6"/>
      <c r="CA197" s="6"/>
      <c r="CB197" s="6"/>
      <c r="CC197" s="6"/>
      <c r="CD197" s="6"/>
      <c r="CE197" s="6"/>
      <c r="CF197" s="6"/>
      <c r="CG197" s="9">
        <v>438.54</v>
      </c>
    </row>
    <row r="198" spans="1:85" x14ac:dyDescent="0.3">
      <c r="A198" s="3" t="str">
        <f t="shared" si="4"/>
        <v>NON ADDNSTC Crosscuts (excl. HSA)Networking &amp; Information Technology R&amp;D (NITRD)NITRD-C-HUMAN-Computing-Enabled Human Interaction, Communications, Augmentation</v>
      </c>
      <c r="B198" s="6" t="s">
        <v>223</v>
      </c>
      <c r="C198" s="6" t="s">
        <v>260</v>
      </c>
      <c r="D198" s="6" t="s">
        <v>267</v>
      </c>
      <c r="E198" s="6" t="s">
        <v>270</v>
      </c>
      <c r="F198" s="6"/>
      <c r="G198" s="6"/>
      <c r="H198" s="6"/>
      <c r="I198" s="6"/>
      <c r="J198" s="6"/>
      <c r="K198" s="6"/>
      <c r="L198" s="6"/>
      <c r="M198" s="6"/>
      <c r="N198" s="6"/>
      <c r="O198" s="6"/>
      <c r="P198" s="6"/>
      <c r="Q198" s="6"/>
      <c r="R198" s="8">
        <v>64.650000000000006</v>
      </c>
      <c r="S198" s="8">
        <v>64.650000000000006</v>
      </c>
      <c r="T198" s="6"/>
      <c r="U198" s="6"/>
      <c r="V198" s="6"/>
      <c r="W198" s="6"/>
      <c r="X198" s="6"/>
      <c r="Y198" s="6"/>
      <c r="Z198" s="8">
        <v>12.77</v>
      </c>
      <c r="AA198" s="8">
        <v>12.77</v>
      </c>
      <c r="AB198" s="6"/>
      <c r="AC198" s="6"/>
      <c r="AD198" s="6"/>
      <c r="AE198" s="6"/>
      <c r="AF198" s="6"/>
      <c r="AG198" s="6"/>
      <c r="AH198" s="6"/>
      <c r="AI198" s="6"/>
      <c r="AJ198" s="6"/>
      <c r="AK198" s="6"/>
      <c r="AL198" s="6"/>
      <c r="AM198" s="6"/>
      <c r="AN198" s="6"/>
      <c r="AO198" s="6"/>
      <c r="AP198" s="6"/>
      <c r="AQ198" s="6"/>
      <c r="AR198" s="6"/>
      <c r="AS198" s="6"/>
      <c r="AT198" s="6"/>
      <c r="AU198" s="8">
        <v>11.38</v>
      </c>
      <c r="AV198" s="8">
        <v>11.38</v>
      </c>
      <c r="AW198" s="6"/>
      <c r="AX198" s="6"/>
      <c r="AY198" s="6"/>
      <c r="AZ198" s="6"/>
      <c r="BA198" s="8">
        <v>2.87</v>
      </c>
      <c r="BB198" s="8">
        <v>2.87</v>
      </c>
      <c r="BC198" s="6"/>
      <c r="BD198" s="6"/>
      <c r="BE198" s="6"/>
      <c r="BF198" s="6"/>
      <c r="BG198" s="6"/>
      <c r="BH198" s="6"/>
      <c r="BI198" s="6"/>
      <c r="BJ198" s="6"/>
      <c r="BK198" s="6"/>
      <c r="BL198" s="8">
        <v>91.67</v>
      </c>
      <c r="BM198" s="6"/>
      <c r="BN198" s="6"/>
      <c r="BO198" s="6"/>
      <c r="BP198" s="6"/>
      <c r="BQ198" s="6"/>
      <c r="BR198" s="6"/>
      <c r="BS198" s="6"/>
      <c r="BT198" s="6"/>
      <c r="BU198" s="6"/>
      <c r="BV198" s="6"/>
      <c r="BW198" s="6"/>
      <c r="BX198" s="6"/>
      <c r="BY198" s="6"/>
      <c r="BZ198" s="6"/>
      <c r="CA198" s="6"/>
      <c r="CB198" s="6"/>
      <c r="CC198" s="6"/>
      <c r="CD198" s="6"/>
      <c r="CE198" s="6"/>
      <c r="CF198" s="6"/>
      <c r="CG198" s="9">
        <v>91.67</v>
      </c>
    </row>
    <row r="199" spans="1:85" x14ac:dyDescent="0.3">
      <c r="A199" s="3" t="str">
        <f t="shared" si="4"/>
        <v>NON ADDNSTC Crosscuts (excl. HSA)Networking &amp; Information Technology R&amp;D (NITRD)NITRD-CNPS-Computing-Enabled Networked Physical Systems</v>
      </c>
      <c r="B199" s="6" t="s">
        <v>223</v>
      </c>
      <c r="C199" s="6" t="s">
        <v>260</v>
      </c>
      <c r="D199" s="6" t="s">
        <v>267</v>
      </c>
      <c r="E199" s="6" t="s">
        <v>271</v>
      </c>
      <c r="F199" s="6"/>
      <c r="G199" s="6"/>
      <c r="H199" s="6"/>
      <c r="I199" s="6"/>
      <c r="J199" s="6"/>
      <c r="K199" s="8">
        <v>1</v>
      </c>
      <c r="L199" s="8">
        <v>1</v>
      </c>
      <c r="M199" s="6"/>
      <c r="N199" s="6"/>
      <c r="O199" s="6"/>
      <c r="P199" s="6"/>
      <c r="Q199" s="6"/>
      <c r="R199" s="8">
        <v>65.19</v>
      </c>
      <c r="S199" s="8">
        <v>65.19</v>
      </c>
      <c r="T199" s="6"/>
      <c r="U199" s="6"/>
      <c r="V199" s="6"/>
      <c r="W199" s="6"/>
      <c r="X199" s="6"/>
      <c r="Y199" s="6"/>
      <c r="Z199" s="8">
        <v>9.35</v>
      </c>
      <c r="AA199" s="8">
        <v>9.35</v>
      </c>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
        <v>32.67</v>
      </c>
      <c r="BB199" s="8">
        <v>32.67</v>
      </c>
      <c r="BC199" s="6"/>
      <c r="BD199" s="6"/>
      <c r="BE199" s="6"/>
      <c r="BF199" s="6"/>
      <c r="BG199" s="6"/>
      <c r="BH199" s="6"/>
      <c r="BI199" s="6"/>
      <c r="BJ199" s="6"/>
      <c r="BK199" s="6"/>
      <c r="BL199" s="8">
        <v>108.21</v>
      </c>
      <c r="BM199" s="6"/>
      <c r="BN199" s="6"/>
      <c r="BO199" s="6"/>
      <c r="BP199" s="6"/>
      <c r="BQ199" s="6"/>
      <c r="BR199" s="6"/>
      <c r="BS199" s="6"/>
      <c r="BT199" s="6"/>
      <c r="BU199" s="6"/>
      <c r="BV199" s="6"/>
      <c r="BW199" s="6"/>
      <c r="BX199" s="6"/>
      <c r="BY199" s="6"/>
      <c r="BZ199" s="6"/>
      <c r="CA199" s="6"/>
      <c r="CB199" s="6"/>
      <c r="CC199" s="6"/>
      <c r="CD199" s="6"/>
      <c r="CE199" s="6"/>
      <c r="CF199" s="6"/>
      <c r="CG199" s="9">
        <v>108.21</v>
      </c>
    </row>
    <row r="200" spans="1:85" x14ac:dyDescent="0.3">
      <c r="A200" s="3" t="str">
        <f t="shared" si="4"/>
        <v>NON ADDNSTC Crosscuts (excl. HSA)Networking &amp; Information Technology R&amp;D (NITRD)NITRD-CSP-Cyber Security &amp; Privacy</v>
      </c>
      <c r="B200" s="6" t="s">
        <v>223</v>
      </c>
      <c r="C200" s="6" t="s">
        <v>260</v>
      </c>
      <c r="D200" s="6" t="s">
        <v>267</v>
      </c>
      <c r="E200" s="6" t="s">
        <v>272</v>
      </c>
      <c r="F200" s="6"/>
      <c r="G200" s="6"/>
      <c r="H200" s="6"/>
      <c r="I200" s="6"/>
      <c r="J200" s="6"/>
      <c r="K200" s="6"/>
      <c r="L200" s="6"/>
      <c r="M200" s="6"/>
      <c r="N200" s="6"/>
      <c r="O200" s="6"/>
      <c r="P200" s="6"/>
      <c r="Q200" s="6"/>
      <c r="R200" s="8">
        <v>91.91</v>
      </c>
      <c r="S200" s="8">
        <v>91.91</v>
      </c>
      <c r="T200" s="6"/>
      <c r="U200" s="6"/>
      <c r="V200" s="6"/>
      <c r="W200" s="6"/>
      <c r="X200" s="6"/>
      <c r="Y200" s="6"/>
      <c r="Z200" s="8">
        <v>1.72</v>
      </c>
      <c r="AA200" s="8">
        <v>1.72</v>
      </c>
      <c r="AB200" s="6"/>
      <c r="AC200" s="6"/>
      <c r="AD200" s="6"/>
      <c r="AE200" s="6"/>
      <c r="AF200" s="6"/>
      <c r="AG200" s="6"/>
      <c r="AH200" s="6"/>
      <c r="AI200" s="6"/>
      <c r="AJ200" s="6"/>
      <c r="AK200" s="6"/>
      <c r="AL200" s="8">
        <v>1.5</v>
      </c>
      <c r="AM200" s="6"/>
      <c r="AN200" s="6"/>
      <c r="AO200" s="6"/>
      <c r="AP200" s="8">
        <v>1.5</v>
      </c>
      <c r="AQ200" s="8">
        <v>0</v>
      </c>
      <c r="AR200" s="6"/>
      <c r="AS200" s="8">
        <v>0</v>
      </c>
      <c r="AT200" s="8">
        <v>0</v>
      </c>
      <c r="AU200" s="8">
        <v>6</v>
      </c>
      <c r="AV200" s="8">
        <v>6</v>
      </c>
      <c r="AW200" s="6"/>
      <c r="AX200" s="6"/>
      <c r="AY200" s="6"/>
      <c r="AZ200" s="6"/>
      <c r="BA200" s="8">
        <v>7.5</v>
      </c>
      <c r="BB200" s="8">
        <v>7.5</v>
      </c>
      <c r="BC200" s="6"/>
      <c r="BD200" s="6"/>
      <c r="BE200" s="6"/>
      <c r="BF200" s="6"/>
      <c r="BG200" s="6"/>
      <c r="BH200" s="6"/>
      <c r="BI200" s="6"/>
      <c r="BJ200" s="6"/>
      <c r="BK200" s="6"/>
      <c r="BL200" s="8">
        <v>108.63</v>
      </c>
      <c r="BM200" s="6"/>
      <c r="BN200" s="6"/>
      <c r="BO200" s="6"/>
      <c r="BP200" s="6"/>
      <c r="BQ200" s="6"/>
      <c r="BR200" s="6"/>
      <c r="BS200" s="6"/>
      <c r="BT200" s="6"/>
      <c r="BU200" s="6"/>
      <c r="BV200" s="6"/>
      <c r="BW200" s="6"/>
      <c r="BX200" s="6"/>
      <c r="BY200" s="6"/>
      <c r="BZ200" s="6"/>
      <c r="CA200" s="6"/>
      <c r="CB200" s="6"/>
      <c r="CC200" s="6"/>
      <c r="CD200" s="6"/>
      <c r="CE200" s="6"/>
      <c r="CF200" s="6"/>
      <c r="CG200" s="9">
        <v>108.63</v>
      </c>
    </row>
    <row r="201" spans="1:85" x14ac:dyDescent="0.3">
      <c r="A201" s="3" t="str">
        <f t="shared" ref="A201:A252" si="5">CONCATENATE(B201,C201,D201,E201)</f>
        <v>NON ADDNSTC Crosscuts (excl. HSA)Networking &amp; Information Technology R&amp;D (NITRD)NITRD-EdW-Education and Workforce</v>
      </c>
      <c r="B201" s="6" t="s">
        <v>223</v>
      </c>
      <c r="C201" s="6" t="s">
        <v>260</v>
      </c>
      <c r="D201" s="6" t="s">
        <v>267</v>
      </c>
      <c r="E201" s="6" t="s">
        <v>273</v>
      </c>
      <c r="F201" s="6"/>
      <c r="G201" s="6"/>
      <c r="H201" s="6"/>
      <c r="I201" s="6"/>
      <c r="J201" s="6"/>
      <c r="K201" s="8">
        <v>6</v>
      </c>
      <c r="L201" s="8">
        <v>6</v>
      </c>
      <c r="M201" s="6"/>
      <c r="N201" s="6"/>
      <c r="O201" s="6"/>
      <c r="P201" s="6"/>
      <c r="Q201" s="6"/>
      <c r="R201" s="8">
        <v>70.099999999999994</v>
      </c>
      <c r="S201" s="8">
        <v>70.099999999999994</v>
      </c>
      <c r="T201" s="6"/>
      <c r="U201" s="6"/>
      <c r="V201" s="6"/>
      <c r="W201" s="6"/>
      <c r="X201" s="6"/>
      <c r="Y201" s="6"/>
      <c r="Z201" s="8">
        <v>3.43</v>
      </c>
      <c r="AA201" s="8">
        <v>3.43</v>
      </c>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
        <v>10</v>
      </c>
      <c r="BB201" s="8">
        <v>10</v>
      </c>
      <c r="BC201" s="6"/>
      <c r="BD201" s="6"/>
      <c r="BE201" s="6"/>
      <c r="BF201" s="6"/>
      <c r="BG201" s="6"/>
      <c r="BH201" s="6"/>
      <c r="BI201" s="6"/>
      <c r="BJ201" s="6"/>
      <c r="BK201" s="6"/>
      <c r="BL201" s="8">
        <v>89.53</v>
      </c>
      <c r="BM201" s="6"/>
      <c r="BN201" s="6"/>
      <c r="BO201" s="6"/>
      <c r="BP201" s="6"/>
      <c r="BQ201" s="8">
        <v>10</v>
      </c>
      <c r="BR201" s="8">
        <v>10</v>
      </c>
      <c r="BS201" s="8">
        <v>10</v>
      </c>
      <c r="BT201" s="6"/>
      <c r="BU201" s="6"/>
      <c r="BV201" s="6"/>
      <c r="BW201" s="6"/>
      <c r="BX201" s="6"/>
      <c r="BY201" s="6"/>
      <c r="BZ201" s="6"/>
      <c r="CA201" s="6"/>
      <c r="CB201" s="6"/>
      <c r="CC201" s="6"/>
      <c r="CD201" s="6"/>
      <c r="CE201" s="6"/>
      <c r="CF201" s="6"/>
      <c r="CG201" s="9">
        <v>99.53</v>
      </c>
    </row>
    <row r="202" spans="1:85" x14ac:dyDescent="0.3">
      <c r="A202" s="3" t="str">
        <f t="shared" si="5"/>
        <v>NON ADDNSTC Crosscuts (excl. HSA)Networking &amp; Information Technology R&amp;D (NITRD)NITRD-EHCS-Enabling-R&amp;D for High-Capability Computing System</v>
      </c>
      <c r="B202" s="6" t="s">
        <v>223</v>
      </c>
      <c r="C202" s="6" t="s">
        <v>260</v>
      </c>
      <c r="D202" s="6" t="s">
        <v>267</v>
      </c>
      <c r="E202" s="6" t="s">
        <v>274</v>
      </c>
      <c r="F202" s="6"/>
      <c r="G202" s="6"/>
      <c r="H202" s="6"/>
      <c r="I202" s="6"/>
      <c r="J202" s="6"/>
      <c r="K202" s="6"/>
      <c r="L202" s="6"/>
      <c r="M202" s="6"/>
      <c r="N202" s="6"/>
      <c r="O202" s="6"/>
      <c r="P202" s="6"/>
      <c r="Q202" s="6"/>
      <c r="R202" s="8">
        <v>108.28</v>
      </c>
      <c r="S202" s="8">
        <v>108.28</v>
      </c>
      <c r="T202" s="6"/>
      <c r="U202" s="6"/>
      <c r="V202" s="6"/>
      <c r="W202" s="6"/>
      <c r="X202" s="6"/>
      <c r="Y202" s="6"/>
      <c r="Z202" s="8">
        <v>1.53</v>
      </c>
      <c r="AA202" s="8">
        <v>1.53</v>
      </c>
      <c r="AB202" s="6"/>
      <c r="AC202" s="6"/>
      <c r="AD202" s="6"/>
      <c r="AE202" s="6"/>
      <c r="AF202" s="6"/>
      <c r="AG202" s="6"/>
      <c r="AH202" s="6"/>
      <c r="AI202" s="6"/>
      <c r="AJ202" s="8">
        <v>50</v>
      </c>
      <c r="AK202" s="8">
        <v>5</v>
      </c>
      <c r="AL202" s="8">
        <v>6</v>
      </c>
      <c r="AM202" s="6"/>
      <c r="AN202" s="6"/>
      <c r="AO202" s="6"/>
      <c r="AP202" s="8">
        <v>61</v>
      </c>
      <c r="AQ202" s="6"/>
      <c r="AR202" s="6"/>
      <c r="AS202" s="6"/>
      <c r="AT202" s="6"/>
      <c r="AU202" s="6"/>
      <c r="AV202" s="6"/>
      <c r="AW202" s="6"/>
      <c r="AX202" s="6"/>
      <c r="AY202" s="6"/>
      <c r="AZ202" s="6"/>
      <c r="BA202" s="8">
        <v>0.67</v>
      </c>
      <c r="BB202" s="8">
        <v>0.67</v>
      </c>
      <c r="BC202" s="6"/>
      <c r="BD202" s="6"/>
      <c r="BE202" s="6"/>
      <c r="BF202" s="6"/>
      <c r="BG202" s="6"/>
      <c r="BH202" s="6"/>
      <c r="BI202" s="6"/>
      <c r="BJ202" s="6"/>
      <c r="BK202" s="6"/>
      <c r="BL202" s="8">
        <v>171.48</v>
      </c>
      <c r="BM202" s="6"/>
      <c r="BN202" s="6"/>
      <c r="BO202" s="6"/>
      <c r="BP202" s="6"/>
      <c r="BQ202" s="6"/>
      <c r="BR202" s="6"/>
      <c r="BS202" s="6"/>
      <c r="BT202" s="6"/>
      <c r="BU202" s="6"/>
      <c r="BV202" s="6"/>
      <c r="BW202" s="6"/>
      <c r="BX202" s="6"/>
      <c r="BY202" s="6"/>
      <c r="BZ202" s="6"/>
      <c r="CA202" s="6"/>
      <c r="CB202" s="6"/>
      <c r="CC202" s="6"/>
      <c r="CD202" s="6"/>
      <c r="CE202" s="6"/>
      <c r="CF202" s="6"/>
      <c r="CG202" s="9">
        <v>171.48</v>
      </c>
    </row>
    <row r="203" spans="1:85" x14ac:dyDescent="0.3">
      <c r="A203" s="3" t="str">
        <f t="shared" si="5"/>
        <v>NON ADDNSTC Crosscuts (excl. HSA)Networking &amp; Information Technology R&amp;D (NITRD)NITRD-ENIT-Electronics for Networking &amp; Information Technology</v>
      </c>
      <c r="B203" s="6" t="s">
        <v>223</v>
      </c>
      <c r="C203" s="6" t="s">
        <v>260</v>
      </c>
      <c r="D203" s="6" t="s">
        <v>267</v>
      </c>
      <c r="E203" s="6" t="s">
        <v>275</v>
      </c>
      <c r="F203" s="6"/>
      <c r="G203" s="6"/>
      <c r="H203" s="6"/>
      <c r="I203" s="6"/>
      <c r="J203" s="6"/>
      <c r="K203" s="6"/>
      <c r="L203" s="6"/>
      <c r="M203" s="6"/>
      <c r="N203" s="6"/>
      <c r="O203" s="6"/>
      <c r="P203" s="6"/>
      <c r="Q203" s="6"/>
      <c r="R203" s="8">
        <v>18.46</v>
      </c>
      <c r="S203" s="8">
        <v>18.46</v>
      </c>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
        <v>15</v>
      </c>
      <c r="BB203" s="8">
        <v>15</v>
      </c>
      <c r="BC203" s="6"/>
      <c r="BD203" s="6"/>
      <c r="BE203" s="6"/>
      <c r="BF203" s="6"/>
      <c r="BG203" s="6"/>
      <c r="BH203" s="6"/>
      <c r="BI203" s="6"/>
      <c r="BJ203" s="6"/>
      <c r="BK203" s="6"/>
      <c r="BL203" s="8">
        <v>33.46</v>
      </c>
      <c r="BM203" s="6"/>
      <c r="BN203" s="6"/>
      <c r="BO203" s="6"/>
      <c r="BP203" s="6"/>
      <c r="BQ203" s="6"/>
      <c r="BR203" s="6"/>
      <c r="BS203" s="6"/>
      <c r="BT203" s="6"/>
      <c r="BU203" s="6"/>
      <c r="BV203" s="6"/>
      <c r="BW203" s="6"/>
      <c r="BX203" s="6"/>
      <c r="BY203" s="6"/>
      <c r="BZ203" s="6"/>
      <c r="CA203" s="6"/>
      <c r="CB203" s="6"/>
      <c r="CC203" s="6"/>
      <c r="CD203" s="6"/>
      <c r="CE203" s="6"/>
      <c r="CF203" s="6"/>
      <c r="CG203" s="9">
        <v>33.46</v>
      </c>
    </row>
    <row r="204" spans="1:85" x14ac:dyDescent="0.3">
      <c r="A204" s="3" t="str">
        <f t="shared" si="5"/>
        <v>NON ADDNSTC Crosscuts (excl. HSA)Networking &amp; Information Technology R&amp;D (NITRD)NITRD-HCIA-High Capability Computing Infrastructure and Applications</v>
      </c>
      <c r="B204" s="6" t="s">
        <v>223</v>
      </c>
      <c r="C204" s="6" t="s">
        <v>260</v>
      </c>
      <c r="D204" s="6" t="s">
        <v>267</v>
      </c>
      <c r="E204" s="6" t="s">
        <v>276</v>
      </c>
      <c r="F204" s="6"/>
      <c r="G204" s="6"/>
      <c r="H204" s="6"/>
      <c r="I204" s="6"/>
      <c r="J204" s="6"/>
      <c r="K204" s="8">
        <v>2.5</v>
      </c>
      <c r="L204" s="8">
        <v>2.5</v>
      </c>
      <c r="M204" s="6"/>
      <c r="N204" s="6"/>
      <c r="O204" s="6"/>
      <c r="P204" s="6"/>
      <c r="Q204" s="6"/>
      <c r="R204" s="8">
        <v>109.54</v>
      </c>
      <c r="S204" s="8">
        <v>109.54</v>
      </c>
      <c r="T204" s="6"/>
      <c r="U204" s="6"/>
      <c r="V204" s="6"/>
      <c r="W204" s="6"/>
      <c r="X204" s="6"/>
      <c r="Y204" s="6"/>
      <c r="Z204" s="8">
        <v>7.86</v>
      </c>
      <c r="AA204" s="8">
        <v>7.86</v>
      </c>
      <c r="AB204" s="6"/>
      <c r="AC204" s="6"/>
      <c r="AD204" s="6"/>
      <c r="AE204" s="6"/>
      <c r="AF204" s="6"/>
      <c r="AG204" s="8">
        <v>22</v>
      </c>
      <c r="AH204" s="8">
        <v>22</v>
      </c>
      <c r="AI204" s="8">
        <v>0.5</v>
      </c>
      <c r="AJ204" s="8">
        <v>12</v>
      </c>
      <c r="AK204" s="8">
        <v>1.5</v>
      </c>
      <c r="AL204" s="6"/>
      <c r="AM204" s="6"/>
      <c r="AN204" s="8">
        <v>24</v>
      </c>
      <c r="AO204" s="6"/>
      <c r="AP204" s="8">
        <v>38</v>
      </c>
      <c r="AQ204" s="6"/>
      <c r="AR204" s="6"/>
      <c r="AS204" s="6"/>
      <c r="AT204" s="6"/>
      <c r="AU204" s="6"/>
      <c r="AV204" s="6"/>
      <c r="AW204" s="6"/>
      <c r="AX204" s="6"/>
      <c r="AY204" s="6"/>
      <c r="AZ204" s="6"/>
      <c r="BA204" s="8">
        <v>1.22</v>
      </c>
      <c r="BB204" s="8">
        <v>1.22</v>
      </c>
      <c r="BC204" s="6"/>
      <c r="BD204" s="6"/>
      <c r="BE204" s="6"/>
      <c r="BF204" s="6"/>
      <c r="BG204" s="6"/>
      <c r="BH204" s="6"/>
      <c r="BI204" s="6"/>
      <c r="BJ204" s="6"/>
      <c r="BK204" s="6"/>
      <c r="BL204" s="8">
        <v>181.12</v>
      </c>
      <c r="BM204" s="6"/>
      <c r="BN204" s="6"/>
      <c r="BO204" s="6"/>
      <c r="BP204" s="6"/>
      <c r="BQ204" s="6"/>
      <c r="BR204" s="6"/>
      <c r="BS204" s="6"/>
      <c r="BT204" s="6"/>
      <c r="BU204" s="6"/>
      <c r="BV204" s="6"/>
      <c r="BW204" s="6"/>
      <c r="BX204" s="6"/>
      <c r="BY204" s="6"/>
      <c r="BZ204" s="6"/>
      <c r="CA204" s="6"/>
      <c r="CB204" s="6"/>
      <c r="CC204" s="6"/>
      <c r="CD204" s="6"/>
      <c r="CE204" s="6"/>
      <c r="CF204" s="6"/>
      <c r="CG204" s="9">
        <v>181.12</v>
      </c>
    </row>
    <row r="205" spans="1:85" x14ac:dyDescent="0.3">
      <c r="A205" s="3" t="str">
        <f t="shared" si="5"/>
        <v>NON ADDNSTC Crosscuts (excl. HSA)Networking &amp; Information Technology R&amp;D (NITRD)NITRD-IRAS-Intelligent Robotics and Autonomous Systems</v>
      </c>
      <c r="B205" s="6" t="s">
        <v>223</v>
      </c>
      <c r="C205" s="6" t="s">
        <v>260</v>
      </c>
      <c r="D205" s="6" t="s">
        <v>267</v>
      </c>
      <c r="E205" s="6" t="s">
        <v>277</v>
      </c>
      <c r="F205" s="6"/>
      <c r="G205" s="6"/>
      <c r="H205" s="6"/>
      <c r="I205" s="6"/>
      <c r="J205" s="6"/>
      <c r="K205" s="6"/>
      <c r="L205" s="6"/>
      <c r="M205" s="6"/>
      <c r="N205" s="6"/>
      <c r="O205" s="6"/>
      <c r="P205" s="6"/>
      <c r="Q205" s="6"/>
      <c r="R205" s="8">
        <v>27.98</v>
      </c>
      <c r="S205" s="8">
        <v>27.98</v>
      </c>
      <c r="T205" s="6"/>
      <c r="U205" s="6"/>
      <c r="V205" s="6"/>
      <c r="W205" s="6"/>
      <c r="X205" s="6"/>
      <c r="Y205" s="6"/>
      <c r="Z205" s="8">
        <v>12.21</v>
      </c>
      <c r="AA205" s="8">
        <v>12.21</v>
      </c>
      <c r="AB205" s="6"/>
      <c r="AC205" s="6"/>
      <c r="AD205" s="6"/>
      <c r="AE205" s="6"/>
      <c r="AF205" s="6"/>
      <c r="AG205" s="6"/>
      <c r="AH205" s="6"/>
      <c r="AI205" s="6"/>
      <c r="AJ205" s="8">
        <v>0</v>
      </c>
      <c r="AK205" s="6"/>
      <c r="AL205" s="6"/>
      <c r="AM205" s="6"/>
      <c r="AN205" s="6"/>
      <c r="AO205" s="6"/>
      <c r="AP205" s="8">
        <v>0</v>
      </c>
      <c r="AQ205" s="6"/>
      <c r="AR205" s="6"/>
      <c r="AS205" s="6"/>
      <c r="AT205" s="6"/>
      <c r="AU205" s="6"/>
      <c r="AV205" s="6"/>
      <c r="AW205" s="6"/>
      <c r="AX205" s="6"/>
      <c r="AY205" s="6"/>
      <c r="AZ205" s="6"/>
      <c r="BA205" s="8">
        <v>9.7899999999999991</v>
      </c>
      <c r="BB205" s="8">
        <v>9.7899999999999991</v>
      </c>
      <c r="BC205" s="6"/>
      <c r="BD205" s="6"/>
      <c r="BE205" s="6"/>
      <c r="BF205" s="6"/>
      <c r="BG205" s="6"/>
      <c r="BH205" s="6"/>
      <c r="BI205" s="6"/>
      <c r="BJ205" s="6"/>
      <c r="BK205" s="6"/>
      <c r="BL205" s="8">
        <v>49.98</v>
      </c>
      <c r="BM205" s="6"/>
      <c r="BN205" s="6"/>
      <c r="BO205" s="6"/>
      <c r="BP205" s="6"/>
      <c r="BQ205" s="6"/>
      <c r="BR205" s="6"/>
      <c r="BS205" s="6"/>
      <c r="BT205" s="6"/>
      <c r="BU205" s="6"/>
      <c r="BV205" s="6"/>
      <c r="BW205" s="6"/>
      <c r="BX205" s="6"/>
      <c r="BY205" s="6"/>
      <c r="BZ205" s="6"/>
      <c r="CA205" s="6"/>
      <c r="CB205" s="6"/>
      <c r="CC205" s="6"/>
      <c r="CD205" s="6"/>
      <c r="CE205" s="6"/>
      <c r="CF205" s="6"/>
      <c r="CG205" s="9">
        <v>49.98</v>
      </c>
    </row>
    <row r="206" spans="1:85" x14ac:dyDescent="0.3">
      <c r="A206" s="3" t="str">
        <f t="shared" si="5"/>
        <v>NON ADDNSTC Crosscuts (excl. HSA)Networking &amp; Information Technology R&amp;D (NITRD)NITRD-LSDMA-Large-Scale Data Management and Analysis</v>
      </c>
      <c r="B206" s="6" t="s">
        <v>223</v>
      </c>
      <c r="C206" s="6" t="s">
        <v>260</v>
      </c>
      <c r="D206" s="6" t="s">
        <v>267</v>
      </c>
      <c r="E206" s="6" t="s">
        <v>278</v>
      </c>
      <c r="F206" s="6"/>
      <c r="G206" s="6"/>
      <c r="H206" s="6"/>
      <c r="I206" s="6"/>
      <c r="J206" s="6"/>
      <c r="K206" s="8">
        <v>43</v>
      </c>
      <c r="L206" s="8">
        <v>43</v>
      </c>
      <c r="M206" s="6"/>
      <c r="N206" s="6"/>
      <c r="O206" s="6"/>
      <c r="P206" s="6"/>
      <c r="Q206" s="6"/>
      <c r="R206" s="8">
        <v>110.45</v>
      </c>
      <c r="S206" s="8">
        <v>110.45</v>
      </c>
      <c r="T206" s="6"/>
      <c r="U206" s="6"/>
      <c r="V206" s="6"/>
      <c r="W206" s="6"/>
      <c r="X206" s="6"/>
      <c r="Y206" s="6"/>
      <c r="Z206" s="8">
        <v>5.95</v>
      </c>
      <c r="AA206" s="8">
        <v>5.95</v>
      </c>
      <c r="AB206" s="6"/>
      <c r="AC206" s="6"/>
      <c r="AD206" s="6"/>
      <c r="AE206" s="6"/>
      <c r="AF206" s="6"/>
      <c r="AG206" s="6"/>
      <c r="AH206" s="6"/>
      <c r="AI206" s="8">
        <v>4.6399999999999997</v>
      </c>
      <c r="AJ206" s="8">
        <v>4</v>
      </c>
      <c r="AK206" s="6"/>
      <c r="AL206" s="8">
        <v>2.5</v>
      </c>
      <c r="AM206" s="8">
        <v>0</v>
      </c>
      <c r="AN206" s="6"/>
      <c r="AO206" s="6"/>
      <c r="AP206" s="8">
        <v>11.14</v>
      </c>
      <c r="AQ206" s="8">
        <v>0</v>
      </c>
      <c r="AR206" s="6"/>
      <c r="AS206" s="8">
        <v>0</v>
      </c>
      <c r="AT206" s="8">
        <v>0</v>
      </c>
      <c r="AU206" s="8">
        <v>8.19</v>
      </c>
      <c r="AV206" s="8">
        <v>8.19</v>
      </c>
      <c r="AW206" s="6"/>
      <c r="AX206" s="6"/>
      <c r="AY206" s="6"/>
      <c r="AZ206" s="6"/>
      <c r="BA206" s="8">
        <v>10.88</v>
      </c>
      <c r="BB206" s="8">
        <v>10.88</v>
      </c>
      <c r="BC206" s="6"/>
      <c r="BD206" s="6"/>
      <c r="BE206" s="6"/>
      <c r="BF206" s="6"/>
      <c r="BG206" s="6"/>
      <c r="BH206" s="6"/>
      <c r="BI206" s="6"/>
      <c r="BJ206" s="6"/>
      <c r="BK206" s="6"/>
      <c r="BL206" s="8">
        <v>189.61</v>
      </c>
      <c r="BM206" s="6"/>
      <c r="BN206" s="6"/>
      <c r="BO206" s="6"/>
      <c r="BP206" s="6"/>
      <c r="BQ206" s="6"/>
      <c r="BR206" s="6"/>
      <c r="BS206" s="6"/>
      <c r="BT206" s="6"/>
      <c r="BU206" s="6"/>
      <c r="BV206" s="6"/>
      <c r="BW206" s="6"/>
      <c r="BX206" s="6"/>
      <c r="BY206" s="6"/>
      <c r="BZ206" s="6"/>
      <c r="CA206" s="6"/>
      <c r="CB206" s="6"/>
      <c r="CC206" s="6"/>
      <c r="CD206" s="6"/>
      <c r="CE206" s="6"/>
      <c r="CF206" s="6"/>
      <c r="CG206" s="9">
        <v>189.61</v>
      </c>
    </row>
    <row r="207" spans="1:85" x14ac:dyDescent="0.3">
      <c r="A207" s="3" t="str">
        <f t="shared" si="5"/>
        <v>NON ADDNSTC Crosscuts (excl. HSA)Networking &amp; Information Technology R&amp;D (NITRD)NITRD-SPSQ-Software Productivity, Sustainability and Quality</v>
      </c>
      <c r="B207" s="6" t="s">
        <v>223</v>
      </c>
      <c r="C207" s="6" t="s">
        <v>260</v>
      </c>
      <c r="D207" s="6" t="s">
        <v>267</v>
      </c>
      <c r="E207" s="6" t="s">
        <v>279</v>
      </c>
      <c r="F207" s="6"/>
      <c r="G207" s="6"/>
      <c r="H207" s="6"/>
      <c r="I207" s="6"/>
      <c r="J207" s="6"/>
      <c r="K207" s="8">
        <v>14.5</v>
      </c>
      <c r="L207" s="8">
        <v>14.5</v>
      </c>
      <c r="M207" s="6"/>
      <c r="N207" s="6"/>
      <c r="O207" s="6"/>
      <c r="P207" s="6"/>
      <c r="Q207" s="6"/>
      <c r="R207" s="8">
        <v>51.04</v>
      </c>
      <c r="S207" s="8">
        <v>51.04</v>
      </c>
      <c r="T207" s="6"/>
      <c r="U207" s="6"/>
      <c r="V207" s="6"/>
      <c r="W207" s="6"/>
      <c r="X207" s="6"/>
      <c r="Y207" s="6"/>
      <c r="Z207" s="8">
        <v>0.76</v>
      </c>
      <c r="AA207" s="8">
        <v>0.76</v>
      </c>
      <c r="AB207" s="6"/>
      <c r="AC207" s="6"/>
      <c r="AD207" s="6"/>
      <c r="AE207" s="6"/>
      <c r="AF207" s="6"/>
      <c r="AG207" s="6"/>
      <c r="AH207" s="6"/>
      <c r="AI207" s="6"/>
      <c r="AJ207" s="6"/>
      <c r="AK207" s="6"/>
      <c r="AL207" s="6"/>
      <c r="AM207" s="6"/>
      <c r="AN207" s="6"/>
      <c r="AO207" s="6"/>
      <c r="AP207" s="6"/>
      <c r="AQ207" s="8">
        <v>0</v>
      </c>
      <c r="AR207" s="8">
        <v>0</v>
      </c>
      <c r="AS207" s="8">
        <v>0</v>
      </c>
      <c r="AT207" s="8">
        <v>0</v>
      </c>
      <c r="AU207" s="8">
        <v>1.5</v>
      </c>
      <c r="AV207" s="8">
        <v>1.5</v>
      </c>
      <c r="AW207" s="6"/>
      <c r="AX207" s="6"/>
      <c r="AY207" s="6"/>
      <c r="AZ207" s="6"/>
      <c r="BA207" s="8">
        <v>6</v>
      </c>
      <c r="BB207" s="8">
        <v>6</v>
      </c>
      <c r="BC207" s="6"/>
      <c r="BD207" s="6"/>
      <c r="BE207" s="6"/>
      <c r="BF207" s="6"/>
      <c r="BG207" s="6"/>
      <c r="BH207" s="6"/>
      <c r="BI207" s="6"/>
      <c r="BJ207" s="6"/>
      <c r="BK207" s="6"/>
      <c r="BL207" s="8">
        <v>73.8</v>
      </c>
      <c r="BM207" s="6"/>
      <c r="BN207" s="6"/>
      <c r="BO207" s="6"/>
      <c r="BP207" s="6"/>
      <c r="BQ207" s="6"/>
      <c r="BR207" s="6"/>
      <c r="BS207" s="6"/>
      <c r="BT207" s="6"/>
      <c r="BU207" s="6"/>
      <c r="BV207" s="6"/>
      <c r="BW207" s="6"/>
      <c r="BX207" s="6"/>
      <c r="BY207" s="6"/>
      <c r="BZ207" s="6"/>
      <c r="CA207" s="6"/>
      <c r="CB207" s="6"/>
      <c r="CC207" s="6"/>
      <c r="CD207" s="6"/>
      <c r="CE207" s="6"/>
      <c r="CF207" s="6"/>
      <c r="CG207" s="9">
        <v>73.8</v>
      </c>
    </row>
    <row r="208" spans="1:85" x14ac:dyDescent="0.3">
      <c r="A208" s="3" t="str">
        <f t="shared" si="5"/>
        <v>NON ADDNSTC Crosscuts (excl. HSA)Quantum Information Science (QIS)Total</v>
      </c>
      <c r="B208" s="6" t="s">
        <v>223</v>
      </c>
      <c r="C208" s="6" t="s">
        <v>260</v>
      </c>
      <c r="D208" s="6" t="s">
        <v>280</v>
      </c>
      <c r="E208" s="6" t="s">
        <v>24</v>
      </c>
      <c r="F208" s="6"/>
      <c r="G208" s="6"/>
      <c r="H208" s="6"/>
      <c r="I208" s="6"/>
      <c r="J208" s="6"/>
      <c r="K208" s="8">
        <v>3.28</v>
      </c>
      <c r="L208" s="8">
        <v>3.28</v>
      </c>
      <c r="M208" s="6"/>
      <c r="N208" s="6"/>
      <c r="O208" s="6"/>
      <c r="P208" s="6"/>
      <c r="Q208" s="6"/>
      <c r="R208" s="8">
        <v>20.7</v>
      </c>
      <c r="S208" s="8">
        <v>20.7</v>
      </c>
      <c r="T208" s="6"/>
      <c r="U208" s="6"/>
      <c r="V208" s="6"/>
      <c r="W208" s="6"/>
      <c r="X208" s="6"/>
      <c r="Y208" s="6"/>
      <c r="Z208" s="8">
        <v>29.5</v>
      </c>
      <c r="AA208" s="8">
        <v>29.5</v>
      </c>
      <c r="AB208" s="6"/>
      <c r="AC208" s="6"/>
      <c r="AD208" s="6"/>
      <c r="AE208" s="6"/>
      <c r="AF208" s="6"/>
      <c r="AG208" s="6"/>
      <c r="AH208" s="6"/>
      <c r="AI208" s="6"/>
      <c r="AJ208" s="6"/>
      <c r="AK208" s="6"/>
      <c r="AL208" s="6"/>
      <c r="AM208" s="6"/>
      <c r="AN208" s="6"/>
      <c r="AO208" s="8">
        <v>169</v>
      </c>
      <c r="AP208" s="8">
        <v>169</v>
      </c>
      <c r="AQ208" s="6"/>
      <c r="AR208" s="6"/>
      <c r="AS208" s="6"/>
      <c r="AT208" s="6"/>
      <c r="AU208" s="6"/>
      <c r="AV208" s="6"/>
      <c r="AW208" s="6"/>
      <c r="AX208" s="6"/>
      <c r="AY208" s="6"/>
      <c r="AZ208" s="6"/>
      <c r="BA208" s="8">
        <v>25</v>
      </c>
      <c r="BB208" s="8">
        <v>25</v>
      </c>
      <c r="BC208" s="8">
        <v>1</v>
      </c>
      <c r="BD208" s="8">
        <v>1</v>
      </c>
      <c r="BE208" s="6"/>
      <c r="BF208" s="6"/>
      <c r="BG208" s="6"/>
      <c r="BH208" s="6"/>
      <c r="BI208" s="6"/>
      <c r="BJ208" s="6"/>
      <c r="BK208" s="6"/>
      <c r="BL208" s="8">
        <v>248.48</v>
      </c>
      <c r="BM208" s="6"/>
      <c r="BN208" s="6"/>
      <c r="BO208" s="6"/>
      <c r="BP208" s="6"/>
      <c r="BQ208" s="8">
        <v>4</v>
      </c>
      <c r="BR208" s="8">
        <v>4</v>
      </c>
      <c r="BS208" s="8">
        <v>4</v>
      </c>
      <c r="BT208" s="6"/>
      <c r="BU208" s="6"/>
      <c r="BV208" s="6"/>
      <c r="BW208" s="6"/>
      <c r="BX208" s="6"/>
      <c r="BY208" s="6"/>
      <c r="BZ208" s="6"/>
      <c r="CA208" s="6"/>
      <c r="CB208" s="6"/>
      <c r="CC208" s="6"/>
      <c r="CD208" s="6"/>
      <c r="CE208" s="6"/>
      <c r="CF208" s="6"/>
      <c r="CG208" s="9">
        <v>252.48</v>
      </c>
    </row>
    <row r="209" spans="1:85" x14ac:dyDescent="0.3">
      <c r="A209" s="3" t="str">
        <f t="shared" si="5"/>
        <v>NON ADDNSTC Crosscuts (excl. HSA)Quantum Information Science (QIS)QIS-QADV-Foundational Quantum Information Science Advances</v>
      </c>
      <c r="B209" s="6" t="s">
        <v>223</v>
      </c>
      <c r="C209" s="6" t="s">
        <v>260</v>
      </c>
      <c r="D209" s="6" t="s">
        <v>280</v>
      </c>
      <c r="E209" s="6" t="s">
        <v>281</v>
      </c>
      <c r="F209" s="6"/>
      <c r="G209" s="6"/>
      <c r="H209" s="6"/>
      <c r="I209" s="6"/>
      <c r="J209" s="6"/>
      <c r="K209" s="8">
        <v>1</v>
      </c>
      <c r="L209" s="8">
        <v>1</v>
      </c>
      <c r="M209" s="6"/>
      <c r="N209" s="6"/>
      <c r="O209" s="6"/>
      <c r="P209" s="6"/>
      <c r="Q209" s="6"/>
      <c r="R209" s="8">
        <v>3.07</v>
      </c>
      <c r="S209" s="8">
        <v>3.07</v>
      </c>
      <c r="T209" s="6"/>
      <c r="U209" s="6"/>
      <c r="V209" s="6"/>
      <c r="W209" s="6"/>
      <c r="X209" s="6"/>
      <c r="Y209" s="6"/>
      <c r="Z209" s="8">
        <v>5</v>
      </c>
      <c r="AA209" s="8">
        <v>5</v>
      </c>
      <c r="AB209" s="6"/>
      <c r="AC209" s="6"/>
      <c r="AD209" s="6"/>
      <c r="AE209" s="6"/>
      <c r="AF209" s="6"/>
      <c r="AG209" s="6"/>
      <c r="AH209" s="6"/>
      <c r="AI209" s="6"/>
      <c r="AJ209" s="6"/>
      <c r="AK209" s="6"/>
      <c r="AL209" s="6"/>
      <c r="AM209" s="6"/>
      <c r="AN209" s="6"/>
      <c r="AO209" s="8">
        <v>41.95</v>
      </c>
      <c r="AP209" s="8">
        <v>41.95</v>
      </c>
      <c r="AQ209" s="6"/>
      <c r="AR209" s="6"/>
      <c r="AS209" s="6"/>
      <c r="AT209" s="6"/>
      <c r="AU209" s="6"/>
      <c r="AV209" s="6"/>
      <c r="AW209" s="6"/>
      <c r="AX209" s="6"/>
      <c r="AY209" s="6"/>
      <c r="AZ209" s="6"/>
      <c r="BA209" s="8">
        <v>1.56</v>
      </c>
      <c r="BB209" s="8">
        <v>1.56</v>
      </c>
      <c r="BC209" s="8">
        <v>1</v>
      </c>
      <c r="BD209" s="8">
        <v>1</v>
      </c>
      <c r="BE209" s="6"/>
      <c r="BF209" s="6"/>
      <c r="BG209" s="6"/>
      <c r="BH209" s="6"/>
      <c r="BI209" s="6"/>
      <c r="BJ209" s="6"/>
      <c r="BK209" s="6"/>
      <c r="BL209" s="8">
        <v>53.58</v>
      </c>
      <c r="BM209" s="6"/>
      <c r="BN209" s="6"/>
      <c r="BO209" s="6"/>
      <c r="BP209" s="6"/>
      <c r="BQ209" s="8">
        <v>4</v>
      </c>
      <c r="BR209" s="8">
        <v>4</v>
      </c>
      <c r="BS209" s="8">
        <v>4</v>
      </c>
      <c r="BT209" s="6"/>
      <c r="BU209" s="6"/>
      <c r="BV209" s="6"/>
      <c r="BW209" s="6"/>
      <c r="BX209" s="6"/>
      <c r="BY209" s="6"/>
      <c r="BZ209" s="6"/>
      <c r="CA209" s="6"/>
      <c r="CB209" s="6"/>
      <c r="CC209" s="6"/>
      <c r="CD209" s="6"/>
      <c r="CE209" s="6"/>
      <c r="CF209" s="6"/>
      <c r="CG209" s="9">
        <v>57.58</v>
      </c>
    </row>
    <row r="210" spans="1:85" x14ac:dyDescent="0.3">
      <c r="A210" s="3" t="str">
        <f t="shared" si="5"/>
        <v>NON ADDNSTC Crosscuts (excl. HSA)Quantum Information Science (QIS)QIS-QCOMP-Quantum Computing</v>
      </c>
      <c r="B210" s="6" t="s">
        <v>223</v>
      </c>
      <c r="C210" s="6" t="s">
        <v>260</v>
      </c>
      <c r="D210" s="6" t="s">
        <v>280</v>
      </c>
      <c r="E210" s="6" t="s">
        <v>282</v>
      </c>
      <c r="F210" s="6"/>
      <c r="G210" s="6"/>
      <c r="H210" s="6"/>
      <c r="I210" s="6"/>
      <c r="J210" s="6"/>
      <c r="K210" s="6"/>
      <c r="L210" s="6"/>
      <c r="M210" s="6"/>
      <c r="N210" s="6"/>
      <c r="O210" s="6"/>
      <c r="P210" s="6"/>
      <c r="Q210" s="6"/>
      <c r="R210" s="8">
        <v>9.36</v>
      </c>
      <c r="S210" s="8">
        <v>9.36</v>
      </c>
      <c r="T210" s="6"/>
      <c r="U210" s="6"/>
      <c r="V210" s="6"/>
      <c r="W210" s="6"/>
      <c r="X210" s="6"/>
      <c r="Y210" s="6"/>
      <c r="Z210" s="8">
        <v>7</v>
      </c>
      <c r="AA210" s="8">
        <v>7</v>
      </c>
      <c r="AB210" s="6"/>
      <c r="AC210" s="6"/>
      <c r="AD210" s="6"/>
      <c r="AE210" s="6"/>
      <c r="AF210" s="6"/>
      <c r="AG210" s="6"/>
      <c r="AH210" s="6"/>
      <c r="AI210" s="6"/>
      <c r="AJ210" s="6"/>
      <c r="AK210" s="6"/>
      <c r="AL210" s="6"/>
      <c r="AM210" s="6"/>
      <c r="AN210" s="6"/>
      <c r="AO210" s="8">
        <v>47.92</v>
      </c>
      <c r="AP210" s="8">
        <v>47.92</v>
      </c>
      <c r="AQ210" s="6"/>
      <c r="AR210" s="6"/>
      <c r="AS210" s="6"/>
      <c r="AT210" s="6"/>
      <c r="AU210" s="6"/>
      <c r="AV210" s="6"/>
      <c r="AW210" s="6"/>
      <c r="AX210" s="6"/>
      <c r="AY210" s="6"/>
      <c r="AZ210" s="6"/>
      <c r="BA210" s="8">
        <v>5.85</v>
      </c>
      <c r="BB210" s="8">
        <v>5.85</v>
      </c>
      <c r="BC210" s="6"/>
      <c r="BD210" s="6"/>
      <c r="BE210" s="6"/>
      <c r="BF210" s="6"/>
      <c r="BG210" s="6"/>
      <c r="BH210" s="6"/>
      <c r="BI210" s="6"/>
      <c r="BJ210" s="6"/>
      <c r="BK210" s="6"/>
      <c r="BL210" s="8">
        <v>70.13</v>
      </c>
      <c r="BM210" s="6"/>
      <c r="BN210" s="6"/>
      <c r="BO210" s="6"/>
      <c r="BP210" s="6"/>
      <c r="BQ210" s="6"/>
      <c r="BR210" s="6"/>
      <c r="BS210" s="6"/>
      <c r="BT210" s="6"/>
      <c r="BU210" s="6"/>
      <c r="BV210" s="6"/>
      <c r="BW210" s="6"/>
      <c r="BX210" s="6"/>
      <c r="BY210" s="6"/>
      <c r="BZ210" s="6"/>
      <c r="CA210" s="6"/>
      <c r="CB210" s="6"/>
      <c r="CC210" s="6"/>
      <c r="CD210" s="6"/>
      <c r="CE210" s="6"/>
      <c r="CF210" s="6"/>
      <c r="CG210" s="9">
        <v>70.13</v>
      </c>
    </row>
    <row r="211" spans="1:85" x14ac:dyDescent="0.3">
      <c r="A211" s="3" t="str">
        <f t="shared" si="5"/>
        <v>NON ADDNSTC Crosscuts (excl. HSA)Quantum Information Science (QIS)QIS-QNET-Quantum Networks and Communications</v>
      </c>
      <c r="B211" s="6" t="s">
        <v>223</v>
      </c>
      <c r="C211" s="6" t="s">
        <v>260</v>
      </c>
      <c r="D211" s="6" t="s">
        <v>280</v>
      </c>
      <c r="E211" s="6" t="s">
        <v>283</v>
      </c>
      <c r="F211" s="6"/>
      <c r="G211" s="6"/>
      <c r="H211" s="6"/>
      <c r="I211" s="6"/>
      <c r="J211" s="6"/>
      <c r="K211" s="6"/>
      <c r="L211" s="6"/>
      <c r="M211" s="6"/>
      <c r="N211" s="6"/>
      <c r="O211" s="6"/>
      <c r="P211" s="6"/>
      <c r="Q211" s="6"/>
      <c r="R211" s="8">
        <v>5.0999999999999996</v>
      </c>
      <c r="S211" s="8">
        <v>5.0999999999999996</v>
      </c>
      <c r="T211" s="6"/>
      <c r="U211" s="6"/>
      <c r="V211" s="6"/>
      <c r="W211" s="6"/>
      <c r="X211" s="6"/>
      <c r="Y211" s="6"/>
      <c r="Z211" s="8">
        <v>12.7</v>
      </c>
      <c r="AA211" s="8">
        <v>12.7</v>
      </c>
      <c r="AB211" s="6"/>
      <c r="AC211" s="6"/>
      <c r="AD211" s="6"/>
      <c r="AE211" s="6"/>
      <c r="AF211" s="6"/>
      <c r="AG211" s="6"/>
      <c r="AH211" s="6"/>
      <c r="AI211" s="6"/>
      <c r="AJ211" s="6"/>
      <c r="AK211" s="6"/>
      <c r="AL211" s="6"/>
      <c r="AM211" s="6"/>
      <c r="AN211" s="6"/>
      <c r="AO211" s="8">
        <v>19.809999999999999</v>
      </c>
      <c r="AP211" s="8">
        <v>19.809999999999999</v>
      </c>
      <c r="AQ211" s="6"/>
      <c r="AR211" s="6"/>
      <c r="AS211" s="6"/>
      <c r="AT211" s="6"/>
      <c r="AU211" s="6"/>
      <c r="AV211" s="6"/>
      <c r="AW211" s="6"/>
      <c r="AX211" s="6"/>
      <c r="AY211" s="6"/>
      <c r="AZ211" s="6"/>
      <c r="BA211" s="8">
        <v>5.66</v>
      </c>
      <c r="BB211" s="8">
        <v>5.66</v>
      </c>
      <c r="BC211" s="6"/>
      <c r="BD211" s="6"/>
      <c r="BE211" s="6"/>
      <c r="BF211" s="6"/>
      <c r="BG211" s="6"/>
      <c r="BH211" s="6"/>
      <c r="BI211" s="6"/>
      <c r="BJ211" s="6"/>
      <c r="BK211" s="6"/>
      <c r="BL211" s="8">
        <v>43.27</v>
      </c>
      <c r="BM211" s="6"/>
      <c r="BN211" s="6"/>
      <c r="BO211" s="6"/>
      <c r="BP211" s="6"/>
      <c r="BQ211" s="6"/>
      <c r="BR211" s="6"/>
      <c r="BS211" s="6"/>
      <c r="BT211" s="6"/>
      <c r="BU211" s="6"/>
      <c r="BV211" s="6"/>
      <c r="BW211" s="6"/>
      <c r="BX211" s="6"/>
      <c r="BY211" s="6"/>
      <c r="BZ211" s="6"/>
      <c r="CA211" s="6"/>
      <c r="CB211" s="6"/>
      <c r="CC211" s="6"/>
      <c r="CD211" s="6"/>
      <c r="CE211" s="6"/>
      <c r="CF211" s="6"/>
      <c r="CG211" s="9">
        <v>43.27</v>
      </c>
    </row>
    <row r="212" spans="1:85" x14ac:dyDescent="0.3">
      <c r="A212" s="3" t="str">
        <f t="shared" si="5"/>
        <v>NON ADDNSTC Crosscuts (excl. HSA)Quantum Information Science (QIS)QIS-QSENS-Quantum Sensing and Metrology</v>
      </c>
      <c r="B212" s="6" t="s">
        <v>223</v>
      </c>
      <c r="C212" s="6" t="s">
        <v>260</v>
      </c>
      <c r="D212" s="6" t="s">
        <v>280</v>
      </c>
      <c r="E212" s="6" t="s">
        <v>284</v>
      </c>
      <c r="F212" s="6"/>
      <c r="G212" s="6"/>
      <c r="H212" s="6"/>
      <c r="I212" s="6"/>
      <c r="J212" s="6"/>
      <c r="K212" s="8">
        <v>1</v>
      </c>
      <c r="L212" s="8">
        <v>1</v>
      </c>
      <c r="M212" s="6"/>
      <c r="N212" s="6"/>
      <c r="O212" s="6"/>
      <c r="P212" s="6"/>
      <c r="Q212" s="6"/>
      <c r="R212" s="8">
        <v>0.92</v>
      </c>
      <c r="S212" s="8">
        <v>0.92</v>
      </c>
      <c r="T212" s="6"/>
      <c r="U212" s="6"/>
      <c r="V212" s="6"/>
      <c r="W212" s="6"/>
      <c r="X212" s="6"/>
      <c r="Y212" s="6"/>
      <c r="Z212" s="6"/>
      <c r="AA212" s="6"/>
      <c r="AB212" s="6"/>
      <c r="AC212" s="6"/>
      <c r="AD212" s="6"/>
      <c r="AE212" s="6"/>
      <c r="AF212" s="6"/>
      <c r="AG212" s="6"/>
      <c r="AH212" s="6"/>
      <c r="AI212" s="6"/>
      <c r="AJ212" s="6"/>
      <c r="AK212" s="6"/>
      <c r="AL212" s="6"/>
      <c r="AM212" s="6"/>
      <c r="AN212" s="6"/>
      <c r="AO212" s="8">
        <v>45.41</v>
      </c>
      <c r="AP212" s="8">
        <v>45.41</v>
      </c>
      <c r="AQ212" s="6"/>
      <c r="AR212" s="6"/>
      <c r="AS212" s="6"/>
      <c r="AT212" s="6"/>
      <c r="AU212" s="6"/>
      <c r="AV212" s="6"/>
      <c r="AW212" s="6"/>
      <c r="AX212" s="6"/>
      <c r="AY212" s="6"/>
      <c r="AZ212" s="6"/>
      <c r="BA212" s="8">
        <v>1.9</v>
      </c>
      <c r="BB212" s="8">
        <v>1.9</v>
      </c>
      <c r="BC212" s="6"/>
      <c r="BD212" s="6"/>
      <c r="BE212" s="6"/>
      <c r="BF212" s="6"/>
      <c r="BG212" s="6"/>
      <c r="BH212" s="6"/>
      <c r="BI212" s="6"/>
      <c r="BJ212" s="6"/>
      <c r="BK212" s="6"/>
      <c r="BL212" s="8">
        <v>49.23</v>
      </c>
      <c r="BM212" s="6"/>
      <c r="BN212" s="6"/>
      <c r="BO212" s="6"/>
      <c r="BP212" s="6"/>
      <c r="BQ212" s="6"/>
      <c r="BR212" s="6"/>
      <c r="BS212" s="6"/>
      <c r="BT212" s="6"/>
      <c r="BU212" s="6"/>
      <c r="BV212" s="6"/>
      <c r="BW212" s="6"/>
      <c r="BX212" s="6"/>
      <c r="BY212" s="6"/>
      <c r="BZ212" s="6"/>
      <c r="CA212" s="6"/>
      <c r="CB212" s="6"/>
      <c r="CC212" s="6"/>
      <c r="CD212" s="6"/>
      <c r="CE212" s="6"/>
      <c r="CF212" s="6"/>
      <c r="CG212" s="9">
        <v>49.23</v>
      </c>
    </row>
    <row r="213" spans="1:85" x14ac:dyDescent="0.3">
      <c r="A213" s="3" t="str">
        <f t="shared" si="5"/>
        <v>NON ADDNSTC Crosscuts (excl. HSA)Quantum Information Science (QIS)QIS-QTAPP-Future Applications</v>
      </c>
      <c r="B213" s="6" t="s">
        <v>223</v>
      </c>
      <c r="C213" s="6" t="s">
        <v>260</v>
      </c>
      <c r="D213" s="6" t="s">
        <v>280</v>
      </c>
      <c r="E213" s="6" t="s">
        <v>285</v>
      </c>
      <c r="F213" s="6"/>
      <c r="G213" s="6"/>
      <c r="H213" s="6"/>
      <c r="I213" s="6"/>
      <c r="J213" s="6"/>
      <c r="K213" s="8">
        <v>1.28</v>
      </c>
      <c r="L213" s="8">
        <v>1.28</v>
      </c>
      <c r="M213" s="6"/>
      <c r="N213" s="6"/>
      <c r="O213" s="6"/>
      <c r="P213" s="6"/>
      <c r="Q213" s="6"/>
      <c r="R213" s="6"/>
      <c r="S213" s="6"/>
      <c r="T213" s="6"/>
      <c r="U213" s="6"/>
      <c r="V213" s="6"/>
      <c r="W213" s="6"/>
      <c r="X213" s="6"/>
      <c r="Y213" s="6"/>
      <c r="Z213" s="8">
        <v>4.2</v>
      </c>
      <c r="AA213" s="8">
        <v>4.2</v>
      </c>
      <c r="AB213" s="6"/>
      <c r="AC213" s="6"/>
      <c r="AD213" s="6"/>
      <c r="AE213" s="6"/>
      <c r="AF213" s="6"/>
      <c r="AG213" s="6"/>
      <c r="AH213" s="6"/>
      <c r="AI213" s="6"/>
      <c r="AJ213" s="6"/>
      <c r="AK213" s="6"/>
      <c r="AL213" s="6"/>
      <c r="AM213" s="6"/>
      <c r="AN213" s="6"/>
      <c r="AO213" s="8">
        <v>3.41</v>
      </c>
      <c r="AP213" s="8">
        <v>3.41</v>
      </c>
      <c r="AQ213" s="6"/>
      <c r="AR213" s="6"/>
      <c r="AS213" s="6"/>
      <c r="AT213" s="6"/>
      <c r="AU213" s="6"/>
      <c r="AV213" s="6"/>
      <c r="AW213" s="6"/>
      <c r="AX213" s="6"/>
      <c r="AY213" s="6"/>
      <c r="AZ213" s="6"/>
      <c r="BA213" s="8">
        <v>8.2200000000000006</v>
      </c>
      <c r="BB213" s="8">
        <v>8.2200000000000006</v>
      </c>
      <c r="BC213" s="6"/>
      <c r="BD213" s="6"/>
      <c r="BE213" s="6"/>
      <c r="BF213" s="6"/>
      <c r="BG213" s="6"/>
      <c r="BH213" s="6"/>
      <c r="BI213" s="6"/>
      <c r="BJ213" s="6"/>
      <c r="BK213" s="6"/>
      <c r="BL213" s="8">
        <v>17.11</v>
      </c>
      <c r="BM213" s="6"/>
      <c r="BN213" s="6"/>
      <c r="BO213" s="6"/>
      <c r="BP213" s="6"/>
      <c r="BQ213" s="6"/>
      <c r="BR213" s="6"/>
      <c r="BS213" s="6"/>
      <c r="BT213" s="6"/>
      <c r="BU213" s="6"/>
      <c r="BV213" s="6"/>
      <c r="BW213" s="6"/>
      <c r="BX213" s="6"/>
      <c r="BY213" s="6"/>
      <c r="BZ213" s="6"/>
      <c r="CA213" s="6"/>
      <c r="CB213" s="6"/>
      <c r="CC213" s="6"/>
      <c r="CD213" s="6"/>
      <c r="CE213" s="6"/>
      <c r="CF213" s="6"/>
      <c r="CG213" s="9">
        <v>17.11</v>
      </c>
    </row>
    <row r="214" spans="1:85" x14ac:dyDescent="0.3">
      <c r="A214" s="3" t="str">
        <f t="shared" si="5"/>
        <v>NON ADDNSTC Crosscuts (excl. HSA)Quantum Information Science (QIS)QIS-QTRM-Risk Mitigation</v>
      </c>
      <c r="B214" s="6" t="s">
        <v>223</v>
      </c>
      <c r="C214" s="6" t="s">
        <v>260</v>
      </c>
      <c r="D214" s="6" t="s">
        <v>280</v>
      </c>
      <c r="E214" s="6" t="s">
        <v>286</v>
      </c>
      <c r="F214" s="6"/>
      <c r="G214" s="6"/>
      <c r="H214" s="6"/>
      <c r="I214" s="6"/>
      <c r="J214" s="6"/>
      <c r="K214" s="6"/>
      <c r="L214" s="6"/>
      <c r="M214" s="6"/>
      <c r="N214" s="6"/>
      <c r="O214" s="6"/>
      <c r="P214" s="6"/>
      <c r="Q214" s="6"/>
      <c r="R214" s="8">
        <v>2.25</v>
      </c>
      <c r="S214" s="8">
        <v>2.25</v>
      </c>
      <c r="T214" s="6"/>
      <c r="U214" s="6"/>
      <c r="V214" s="6"/>
      <c r="W214" s="6"/>
      <c r="X214" s="6"/>
      <c r="Y214" s="6"/>
      <c r="Z214" s="8">
        <v>0.6</v>
      </c>
      <c r="AA214" s="8">
        <v>0.6</v>
      </c>
      <c r="AB214" s="6"/>
      <c r="AC214" s="6"/>
      <c r="AD214" s="6"/>
      <c r="AE214" s="6"/>
      <c r="AF214" s="6"/>
      <c r="AG214" s="6"/>
      <c r="AH214" s="6"/>
      <c r="AI214" s="6"/>
      <c r="AJ214" s="6"/>
      <c r="AK214" s="6"/>
      <c r="AL214" s="6"/>
      <c r="AM214" s="6"/>
      <c r="AN214" s="6"/>
      <c r="AO214" s="8">
        <v>6.22</v>
      </c>
      <c r="AP214" s="8">
        <v>6.22</v>
      </c>
      <c r="AQ214" s="6"/>
      <c r="AR214" s="6"/>
      <c r="AS214" s="6"/>
      <c r="AT214" s="6"/>
      <c r="AU214" s="6"/>
      <c r="AV214" s="6"/>
      <c r="AW214" s="6"/>
      <c r="AX214" s="6"/>
      <c r="AY214" s="6"/>
      <c r="AZ214" s="6"/>
      <c r="BA214" s="8">
        <v>0.99</v>
      </c>
      <c r="BB214" s="8">
        <v>0.99</v>
      </c>
      <c r="BC214" s="6"/>
      <c r="BD214" s="6"/>
      <c r="BE214" s="6"/>
      <c r="BF214" s="6"/>
      <c r="BG214" s="6"/>
      <c r="BH214" s="6"/>
      <c r="BI214" s="6"/>
      <c r="BJ214" s="6"/>
      <c r="BK214" s="6"/>
      <c r="BL214" s="8">
        <v>10.06</v>
      </c>
      <c r="BM214" s="6"/>
      <c r="BN214" s="6"/>
      <c r="BO214" s="6"/>
      <c r="BP214" s="6"/>
      <c r="BQ214" s="6"/>
      <c r="BR214" s="6"/>
      <c r="BS214" s="6"/>
      <c r="BT214" s="6"/>
      <c r="BU214" s="6"/>
      <c r="BV214" s="6"/>
      <c r="BW214" s="6"/>
      <c r="BX214" s="6"/>
      <c r="BY214" s="6"/>
      <c r="BZ214" s="6"/>
      <c r="CA214" s="6"/>
      <c r="CB214" s="6"/>
      <c r="CC214" s="6"/>
      <c r="CD214" s="6"/>
      <c r="CE214" s="6"/>
      <c r="CF214" s="6"/>
      <c r="CG214" s="9">
        <v>10.06</v>
      </c>
    </row>
    <row r="215" spans="1:85" x14ac:dyDescent="0.3">
      <c r="A215" s="3" t="str">
        <f t="shared" si="5"/>
        <v>NON ADDNSTC Crosscuts (excl. HSA)Quantum Information Science (QIS)QIS-QTSUP-Supporting Technology</v>
      </c>
      <c r="B215" s="6" t="s">
        <v>223</v>
      </c>
      <c r="C215" s="6" t="s">
        <v>260</v>
      </c>
      <c r="D215" s="6" t="s">
        <v>280</v>
      </c>
      <c r="E215" s="6" t="s">
        <v>287</v>
      </c>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8">
        <v>4.28</v>
      </c>
      <c r="AP215" s="8">
        <v>4.28</v>
      </c>
      <c r="AQ215" s="6"/>
      <c r="AR215" s="6"/>
      <c r="AS215" s="6"/>
      <c r="AT215" s="6"/>
      <c r="AU215" s="6"/>
      <c r="AV215" s="6"/>
      <c r="AW215" s="6"/>
      <c r="AX215" s="6"/>
      <c r="AY215" s="6"/>
      <c r="AZ215" s="6"/>
      <c r="BA215" s="8">
        <v>0.82</v>
      </c>
      <c r="BB215" s="8">
        <v>0.82</v>
      </c>
      <c r="BC215" s="6"/>
      <c r="BD215" s="6"/>
      <c r="BE215" s="6"/>
      <c r="BF215" s="6"/>
      <c r="BG215" s="6"/>
      <c r="BH215" s="6"/>
      <c r="BI215" s="6"/>
      <c r="BJ215" s="6"/>
      <c r="BK215" s="6"/>
      <c r="BL215" s="8">
        <v>5.0999999999999996</v>
      </c>
      <c r="BM215" s="6"/>
      <c r="BN215" s="6"/>
      <c r="BO215" s="6"/>
      <c r="BP215" s="6"/>
      <c r="BQ215" s="6"/>
      <c r="BR215" s="6"/>
      <c r="BS215" s="6"/>
      <c r="BT215" s="6"/>
      <c r="BU215" s="6"/>
      <c r="BV215" s="6"/>
      <c r="BW215" s="6"/>
      <c r="BX215" s="6"/>
      <c r="BY215" s="6"/>
      <c r="BZ215" s="6"/>
      <c r="CA215" s="6"/>
      <c r="CB215" s="6"/>
      <c r="CC215" s="6"/>
      <c r="CD215" s="6"/>
      <c r="CE215" s="6"/>
      <c r="CF215" s="6"/>
      <c r="CG215" s="9">
        <v>5.0999999999999996</v>
      </c>
    </row>
    <row r="216" spans="1:85" x14ac:dyDescent="0.3">
      <c r="A216" s="3" t="str">
        <f t="shared" si="5"/>
        <v>NON ADDNSTC Crosscuts (excl. HSA)U.S. Global Change Research Program (USGCRP)Total</v>
      </c>
      <c r="B216" s="6" t="s">
        <v>223</v>
      </c>
      <c r="C216" s="6" t="s">
        <v>260</v>
      </c>
      <c r="D216" s="6" t="s">
        <v>288</v>
      </c>
      <c r="E216" s="6" t="s">
        <v>24</v>
      </c>
      <c r="F216" s="6"/>
      <c r="G216" s="6"/>
      <c r="H216" s="6"/>
      <c r="I216" s="6"/>
      <c r="J216" s="6"/>
      <c r="K216" s="8">
        <v>163</v>
      </c>
      <c r="L216" s="8">
        <v>163</v>
      </c>
      <c r="M216" s="6"/>
      <c r="N216" s="6"/>
      <c r="O216" s="6"/>
      <c r="P216" s="6"/>
      <c r="Q216" s="6"/>
      <c r="R216" s="6"/>
      <c r="S216" s="6"/>
      <c r="T216" s="6"/>
      <c r="U216" s="6"/>
      <c r="V216" s="6"/>
      <c r="W216" s="6"/>
      <c r="X216" s="6"/>
      <c r="Y216" s="6"/>
      <c r="Z216" s="6"/>
      <c r="AA216" s="6"/>
      <c r="AB216" s="6"/>
      <c r="AC216" s="6"/>
      <c r="AD216" s="6"/>
      <c r="AE216" s="8">
        <v>59.08</v>
      </c>
      <c r="AF216" s="8">
        <v>0</v>
      </c>
      <c r="AG216" s="8">
        <v>337.6</v>
      </c>
      <c r="AH216" s="8">
        <v>396.68</v>
      </c>
      <c r="AI216" s="6"/>
      <c r="AJ216" s="8">
        <v>8</v>
      </c>
      <c r="AK216" s="6"/>
      <c r="AL216" s="8">
        <v>4</v>
      </c>
      <c r="AM216" s="8">
        <v>0</v>
      </c>
      <c r="AN216" s="6"/>
      <c r="AO216" s="6"/>
      <c r="AP216" s="8">
        <v>12</v>
      </c>
      <c r="AQ216" s="8">
        <v>0</v>
      </c>
      <c r="AR216" s="6"/>
      <c r="AS216" s="8">
        <v>0</v>
      </c>
      <c r="AT216" s="8">
        <v>0</v>
      </c>
      <c r="AU216" s="8">
        <v>19.25</v>
      </c>
      <c r="AV216" s="8">
        <v>19.25</v>
      </c>
      <c r="AW216" s="6"/>
      <c r="AX216" s="6"/>
      <c r="AY216" s="6"/>
      <c r="AZ216" s="6"/>
      <c r="BA216" s="6"/>
      <c r="BB216" s="6"/>
      <c r="BC216" s="8">
        <v>5</v>
      </c>
      <c r="BD216" s="8">
        <v>5</v>
      </c>
      <c r="BE216" s="6"/>
      <c r="BF216" s="6"/>
      <c r="BG216" s="6"/>
      <c r="BH216" s="6"/>
      <c r="BI216" s="6"/>
      <c r="BJ216" s="6"/>
      <c r="BK216" s="6"/>
      <c r="BL216" s="8">
        <v>595.92999999999995</v>
      </c>
      <c r="BM216" s="6"/>
      <c r="BN216" s="6"/>
      <c r="BO216" s="6"/>
      <c r="BP216" s="6"/>
      <c r="BQ216" s="6"/>
      <c r="BR216" s="6"/>
      <c r="BS216" s="6"/>
      <c r="BT216" s="6"/>
      <c r="BU216" s="6"/>
      <c r="BV216" s="6"/>
      <c r="BW216" s="6"/>
      <c r="BX216" s="6"/>
      <c r="BY216" s="6"/>
      <c r="BZ216" s="6"/>
      <c r="CA216" s="6"/>
      <c r="CB216" s="6"/>
      <c r="CC216" s="6"/>
      <c r="CD216" s="6"/>
      <c r="CE216" s="6"/>
      <c r="CF216" s="6"/>
      <c r="CG216" s="9">
        <v>595.92999999999995</v>
      </c>
    </row>
    <row r="217" spans="1:85" x14ac:dyDescent="0.3">
      <c r="A217" s="3" t="str">
        <f t="shared" si="5"/>
        <v>NON ADDNSTC Crosscuts (excl. HSA)U.S. Global Change Research Program (USGCRP)USGCRP-Communication and Education</v>
      </c>
      <c r="B217" s="6" t="s">
        <v>223</v>
      </c>
      <c r="C217" s="6" t="s">
        <v>260</v>
      </c>
      <c r="D217" s="6" t="s">
        <v>288</v>
      </c>
      <c r="E217" s="6" t="s">
        <v>289</v>
      </c>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8">
        <v>0</v>
      </c>
      <c r="AG217" s="6"/>
      <c r="AH217" s="8">
        <v>0</v>
      </c>
      <c r="AI217" s="6"/>
      <c r="AJ217" s="6"/>
      <c r="AK217" s="6"/>
      <c r="AL217" s="6"/>
      <c r="AM217" s="8">
        <v>0</v>
      </c>
      <c r="AN217" s="6"/>
      <c r="AO217" s="6"/>
      <c r="AP217" s="8">
        <v>0</v>
      </c>
      <c r="AQ217" s="6"/>
      <c r="AR217" s="6"/>
      <c r="AS217" s="8">
        <v>0</v>
      </c>
      <c r="AT217" s="6"/>
      <c r="AU217" s="6"/>
      <c r="AV217" s="8">
        <v>0</v>
      </c>
      <c r="AW217" s="6"/>
      <c r="AX217" s="6"/>
      <c r="AY217" s="6"/>
      <c r="AZ217" s="6"/>
      <c r="BA217" s="6"/>
      <c r="BB217" s="6"/>
      <c r="BC217" s="6"/>
      <c r="BD217" s="6"/>
      <c r="BE217" s="6"/>
      <c r="BF217" s="6"/>
      <c r="BG217" s="6"/>
      <c r="BH217" s="6"/>
      <c r="BI217" s="6"/>
      <c r="BJ217" s="6"/>
      <c r="BK217" s="6"/>
      <c r="BL217" s="8">
        <v>0</v>
      </c>
      <c r="BM217" s="6"/>
      <c r="BN217" s="6"/>
      <c r="BO217" s="6"/>
      <c r="BP217" s="6"/>
      <c r="BQ217" s="6"/>
      <c r="BR217" s="6"/>
      <c r="BS217" s="6"/>
      <c r="BT217" s="6"/>
      <c r="BU217" s="6"/>
      <c r="BV217" s="6"/>
      <c r="BW217" s="6"/>
      <c r="BX217" s="6"/>
      <c r="BY217" s="6"/>
      <c r="BZ217" s="6"/>
      <c r="CA217" s="6"/>
      <c r="CB217" s="6"/>
      <c r="CC217" s="6"/>
      <c r="CD217" s="6"/>
      <c r="CE217" s="6"/>
      <c r="CF217" s="6"/>
      <c r="CG217" s="9">
        <v>0</v>
      </c>
    </row>
    <row r="218" spans="1:85" x14ac:dyDescent="0.3">
      <c r="A218" s="3" t="str">
        <f t="shared" si="5"/>
        <v>NON ADDNSTC Crosscuts (excl. HSA)U.S. Global Change Research Program (USGCRP)USGCRP-Integrated Modeling</v>
      </c>
      <c r="B218" s="6" t="s">
        <v>223</v>
      </c>
      <c r="C218" s="6" t="s">
        <v>260</v>
      </c>
      <c r="D218" s="6" t="s">
        <v>288</v>
      </c>
      <c r="E218" s="6" t="s">
        <v>290</v>
      </c>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8">
        <v>10.02</v>
      </c>
      <c r="AF218" s="6"/>
      <c r="AG218" s="8">
        <v>23</v>
      </c>
      <c r="AH218" s="8">
        <v>33.020000000000003</v>
      </c>
      <c r="AI218" s="6"/>
      <c r="AJ218" s="8">
        <v>8</v>
      </c>
      <c r="AK218" s="6"/>
      <c r="AL218" s="8">
        <v>3</v>
      </c>
      <c r="AM218" s="8">
        <v>0</v>
      </c>
      <c r="AN218" s="6"/>
      <c r="AO218" s="6"/>
      <c r="AP218" s="8">
        <v>11</v>
      </c>
      <c r="AQ218" s="8">
        <v>0</v>
      </c>
      <c r="AR218" s="6"/>
      <c r="AS218" s="6"/>
      <c r="AT218" s="8">
        <v>0</v>
      </c>
      <c r="AU218" s="8">
        <v>3.9</v>
      </c>
      <c r="AV218" s="8">
        <v>3.9</v>
      </c>
      <c r="AW218" s="6"/>
      <c r="AX218" s="6"/>
      <c r="AY218" s="6"/>
      <c r="AZ218" s="6"/>
      <c r="BA218" s="6"/>
      <c r="BB218" s="6"/>
      <c r="BC218" s="6"/>
      <c r="BD218" s="6"/>
      <c r="BE218" s="6"/>
      <c r="BF218" s="6"/>
      <c r="BG218" s="6"/>
      <c r="BH218" s="6"/>
      <c r="BI218" s="6"/>
      <c r="BJ218" s="6"/>
      <c r="BK218" s="6"/>
      <c r="BL218" s="8">
        <v>47.92</v>
      </c>
      <c r="BM218" s="6"/>
      <c r="BN218" s="6"/>
      <c r="BO218" s="6"/>
      <c r="BP218" s="6"/>
      <c r="BQ218" s="6"/>
      <c r="BR218" s="6"/>
      <c r="BS218" s="6"/>
      <c r="BT218" s="6"/>
      <c r="BU218" s="6"/>
      <c r="BV218" s="6"/>
      <c r="BW218" s="6"/>
      <c r="BX218" s="6"/>
      <c r="BY218" s="6"/>
      <c r="BZ218" s="6"/>
      <c r="CA218" s="6"/>
      <c r="CB218" s="6"/>
      <c r="CC218" s="6"/>
      <c r="CD218" s="6"/>
      <c r="CE218" s="6"/>
      <c r="CF218" s="6"/>
      <c r="CG218" s="9">
        <v>47.92</v>
      </c>
    </row>
    <row r="219" spans="1:85" x14ac:dyDescent="0.3">
      <c r="A219" s="3" t="str">
        <f t="shared" si="5"/>
        <v>NON ADDNSTC Crosscuts (excl. HSA)U.S. Global Change Research Program (USGCRP)USGCRP-Integrated Observations</v>
      </c>
      <c r="B219" s="6" t="s">
        <v>223</v>
      </c>
      <c r="C219" s="6" t="s">
        <v>260</v>
      </c>
      <c r="D219" s="6" t="s">
        <v>288</v>
      </c>
      <c r="E219" s="6" t="s">
        <v>291</v>
      </c>
      <c r="F219" s="6"/>
      <c r="G219" s="6"/>
      <c r="H219" s="6"/>
      <c r="I219" s="6"/>
      <c r="J219" s="6"/>
      <c r="K219" s="8">
        <v>70</v>
      </c>
      <c r="L219" s="8">
        <v>70</v>
      </c>
      <c r="M219" s="6"/>
      <c r="N219" s="6"/>
      <c r="O219" s="6"/>
      <c r="P219" s="6"/>
      <c r="Q219" s="6"/>
      <c r="R219" s="6"/>
      <c r="S219" s="6"/>
      <c r="T219" s="6"/>
      <c r="U219" s="6"/>
      <c r="V219" s="6"/>
      <c r="W219" s="6"/>
      <c r="X219" s="6"/>
      <c r="Y219" s="6"/>
      <c r="Z219" s="6"/>
      <c r="AA219" s="6"/>
      <c r="AB219" s="6"/>
      <c r="AC219" s="6"/>
      <c r="AD219" s="6"/>
      <c r="AE219" s="8">
        <v>31.52</v>
      </c>
      <c r="AF219" s="6"/>
      <c r="AG219" s="8">
        <v>87</v>
      </c>
      <c r="AH219" s="8">
        <v>118.52</v>
      </c>
      <c r="AI219" s="6"/>
      <c r="AJ219" s="6"/>
      <c r="AK219" s="6"/>
      <c r="AL219" s="6"/>
      <c r="AM219" s="8">
        <v>0</v>
      </c>
      <c r="AN219" s="6"/>
      <c r="AO219" s="6"/>
      <c r="AP219" s="8">
        <v>0</v>
      </c>
      <c r="AQ219" s="6"/>
      <c r="AR219" s="6"/>
      <c r="AS219" s="8">
        <v>0</v>
      </c>
      <c r="AT219" s="6"/>
      <c r="AU219" s="6"/>
      <c r="AV219" s="8">
        <v>0</v>
      </c>
      <c r="AW219" s="6"/>
      <c r="AX219" s="6"/>
      <c r="AY219" s="6"/>
      <c r="AZ219" s="6"/>
      <c r="BA219" s="6"/>
      <c r="BB219" s="6"/>
      <c r="BC219" s="6"/>
      <c r="BD219" s="6"/>
      <c r="BE219" s="6"/>
      <c r="BF219" s="6"/>
      <c r="BG219" s="6"/>
      <c r="BH219" s="6"/>
      <c r="BI219" s="6"/>
      <c r="BJ219" s="6"/>
      <c r="BK219" s="6"/>
      <c r="BL219" s="8">
        <v>188.52</v>
      </c>
      <c r="BM219" s="6"/>
      <c r="BN219" s="6"/>
      <c r="BO219" s="6"/>
      <c r="BP219" s="6"/>
      <c r="BQ219" s="6"/>
      <c r="BR219" s="6"/>
      <c r="BS219" s="6"/>
      <c r="BT219" s="6"/>
      <c r="BU219" s="6"/>
      <c r="BV219" s="6"/>
      <c r="BW219" s="6"/>
      <c r="BX219" s="6"/>
      <c r="BY219" s="6"/>
      <c r="BZ219" s="6"/>
      <c r="CA219" s="6"/>
      <c r="CB219" s="6"/>
      <c r="CC219" s="6"/>
      <c r="CD219" s="6"/>
      <c r="CE219" s="6"/>
      <c r="CF219" s="6"/>
      <c r="CG219" s="9">
        <v>188.52</v>
      </c>
    </row>
    <row r="220" spans="1:85" x14ac:dyDescent="0.3">
      <c r="A220" s="3" t="str">
        <f t="shared" si="5"/>
        <v>NON ADDNSTC Crosscuts (excl. HSA)U.S. Global Change Research Program (USGCRP)USGCRP-Multidisciplinary Earth and Human System Understanding</v>
      </c>
      <c r="B220" s="6" t="s">
        <v>223</v>
      </c>
      <c r="C220" s="6" t="s">
        <v>260</v>
      </c>
      <c r="D220" s="6" t="s">
        <v>288</v>
      </c>
      <c r="E220" s="6" t="s">
        <v>292</v>
      </c>
      <c r="F220" s="6"/>
      <c r="G220" s="6"/>
      <c r="H220" s="6"/>
      <c r="I220" s="6"/>
      <c r="J220" s="6"/>
      <c r="K220" s="8">
        <v>93</v>
      </c>
      <c r="L220" s="8">
        <v>93</v>
      </c>
      <c r="M220" s="6"/>
      <c r="N220" s="6"/>
      <c r="O220" s="6"/>
      <c r="P220" s="6"/>
      <c r="Q220" s="6"/>
      <c r="R220" s="6"/>
      <c r="S220" s="6"/>
      <c r="T220" s="6"/>
      <c r="U220" s="6"/>
      <c r="V220" s="6"/>
      <c r="W220" s="6"/>
      <c r="X220" s="6"/>
      <c r="Y220" s="6"/>
      <c r="Z220" s="6"/>
      <c r="AA220" s="6"/>
      <c r="AB220" s="6"/>
      <c r="AC220" s="6"/>
      <c r="AD220" s="6"/>
      <c r="AE220" s="8">
        <v>17.54</v>
      </c>
      <c r="AF220" s="6"/>
      <c r="AG220" s="8">
        <v>221.6</v>
      </c>
      <c r="AH220" s="8">
        <v>239.14</v>
      </c>
      <c r="AI220" s="6"/>
      <c r="AJ220" s="6"/>
      <c r="AK220" s="6"/>
      <c r="AL220" s="8">
        <v>0.5</v>
      </c>
      <c r="AM220" s="8">
        <v>0</v>
      </c>
      <c r="AN220" s="6"/>
      <c r="AO220" s="6"/>
      <c r="AP220" s="8">
        <v>0.5</v>
      </c>
      <c r="AQ220" s="8">
        <v>0</v>
      </c>
      <c r="AR220" s="6"/>
      <c r="AS220" s="6"/>
      <c r="AT220" s="8">
        <v>0</v>
      </c>
      <c r="AU220" s="8">
        <v>9.85</v>
      </c>
      <c r="AV220" s="8">
        <v>9.85</v>
      </c>
      <c r="AW220" s="6"/>
      <c r="AX220" s="6"/>
      <c r="AY220" s="6"/>
      <c r="AZ220" s="6"/>
      <c r="BA220" s="6"/>
      <c r="BB220" s="6"/>
      <c r="BC220" s="8">
        <v>5</v>
      </c>
      <c r="BD220" s="8">
        <v>5</v>
      </c>
      <c r="BE220" s="6"/>
      <c r="BF220" s="6"/>
      <c r="BG220" s="6"/>
      <c r="BH220" s="6"/>
      <c r="BI220" s="6"/>
      <c r="BJ220" s="6"/>
      <c r="BK220" s="6"/>
      <c r="BL220" s="8">
        <v>347.49</v>
      </c>
      <c r="BM220" s="6"/>
      <c r="BN220" s="6"/>
      <c r="BO220" s="6"/>
      <c r="BP220" s="6"/>
      <c r="BQ220" s="6"/>
      <c r="BR220" s="6"/>
      <c r="BS220" s="6"/>
      <c r="BT220" s="6"/>
      <c r="BU220" s="6"/>
      <c r="BV220" s="6"/>
      <c r="BW220" s="6"/>
      <c r="BX220" s="6"/>
      <c r="BY220" s="6"/>
      <c r="BZ220" s="6"/>
      <c r="CA220" s="6"/>
      <c r="CB220" s="6"/>
      <c r="CC220" s="6"/>
      <c r="CD220" s="6"/>
      <c r="CE220" s="6"/>
      <c r="CF220" s="6"/>
      <c r="CG220" s="9">
        <v>347.49</v>
      </c>
    </row>
    <row r="221" spans="1:85" x14ac:dyDescent="0.3">
      <c r="A221" s="3" t="str">
        <f t="shared" si="5"/>
        <v>NON ADDNSTC Crosscuts (excl. HSA)U.S. Global Change Research Program (USGCRP)USGCRP-Science of Adaptation and Science to Inform Adaptation Decisions</v>
      </c>
      <c r="B221" s="6" t="s">
        <v>223</v>
      </c>
      <c r="C221" s="6" t="s">
        <v>260</v>
      </c>
      <c r="D221" s="6" t="s">
        <v>288</v>
      </c>
      <c r="E221" s="6" t="s">
        <v>293</v>
      </c>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8">
        <v>0</v>
      </c>
      <c r="AF221" s="6"/>
      <c r="AG221" s="8">
        <v>6</v>
      </c>
      <c r="AH221" s="8">
        <v>6</v>
      </c>
      <c r="AI221" s="6"/>
      <c r="AJ221" s="6"/>
      <c r="AK221" s="6"/>
      <c r="AL221" s="8">
        <v>0.5</v>
      </c>
      <c r="AM221" s="8">
        <v>0</v>
      </c>
      <c r="AN221" s="6"/>
      <c r="AO221" s="6"/>
      <c r="AP221" s="8">
        <v>0.5</v>
      </c>
      <c r="AQ221" s="8">
        <v>0</v>
      </c>
      <c r="AR221" s="6"/>
      <c r="AS221" s="6"/>
      <c r="AT221" s="8">
        <v>0</v>
      </c>
      <c r="AU221" s="8">
        <v>5.5</v>
      </c>
      <c r="AV221" s="8">
        <v>5.5</v>
      </c>
      <c r="AW221" s="6"/>
      <c r="AX221" s="6"/>
      <c r="AY221" s="6"/>
      <c r="AZ221" s="6"/>
      <c r="BA221" s="6"/>
      <c r="BB221" s="6"/>
      <c r="BC221" s="6"/>
      <c r="BD221" s="6"/>
      <c r="BE221" s="6"/>
      <c r="BF221" s="6"/>
      <c r="BG221" s="6"/>
      <c r="BH221" s="6"/>
      <c r="BI221" s="6"/>
      <c r="BJ221" s="6"/>
      <c r="BK221" s="6"/>
      <c r="BL221" s="8">
        <v>12</v>
      </c>
      <c r="BM221" s="6"/>
      <c r="BN221" s="6"/>
      <c r="BO221" s="6"/>
      <c r="BP221" s="6"/>
      <c r="BQ221" s="6"/>
      <c r="BR221" s="6"/>
      <c r="BS221" s="6"/>
      <c r="BT221" s="6"/>
      <c r="BU221" s="6"/>
      <c r="BV221" s="6"/>
      <c r="BW221" s="6"/>
      <c r="BX221" s="6"/>
      <c r="BY221" s="6"/>
      <c r="BZ221" s="6"/>
      <c r="CA221" s="6"/>
      <c r="CB221" s="6"/>
      <c r="CC221" s="6"/>
      <c r="CD221" s="6"/>
      <c r="CE221" s="6"/>
      <c r="CF221" s="6"/>
      <c r="CG221" s="9">
        <v>12</v>
      </c>
    </row>
    <row r="222" spans="1:85" x14ac:dyDescent="0.3">
      <c r="A222" s="3" t="str">
        <f t="shared" si="5"/>
        <v>NON ADDOther Non-ADDTotalTotal</v>
      </c>
      <c r="B222" s="6" t="s">
        <v>223</v>
      </c>
      <c r="C222" s="6" t="s">
        <v>294</v>
      </c>
      <c r="D222" s="6" t="s">
        <v>24</v>
      </c>
      <c r="E222" s="6" t="s">
        <v>24</v>
      </c>
      <c r="F222" s="6"/>
      <c r="G222" s="6"/>
      <c r="H222" s="6"/>
      <c r="I222" s="6"/>
      <c r="J222" s="6"/>
      <c r="K222" s="8">
        <v>178.37</v>
      </c>
      <c r="L222" s="8">
        <v>178.37</v>
      </c>
      <c r="M222" s="6"/>
      <c r="N222" s="6"/>
      <c r="O222" s="6"/>
      <c r="P222" s="6"/>
      <c r="Q222" s="8">
        <v>3.6</v>
      </c>
      <c r="R222" s="8">
        <v>23</v>
      </c>
      <c r="S222" s="8">
        <v>26.6</v>
      </c>
      <c r="T222" s="6"/>
      <c r="U222" s="6"/>
      <c r="V222" s="6"/>
      <c r="W222" s="6"/>
      <c r="X222" s="6"/>
      <c r="Y222" s="6"/>
      <c r="Z222" s="8">
        <v>138.69999999999999</v>
      </c>
      <c r="AA222" s="8">
        <v>138.69999999999999</v>
      </c>
      <c r="AB222" s="8">
        <v>0.71</v>
      </c>
      <c r="AC222" s="8">
        <v>12</v>
      </c>
      <c r="AD222" s="6"/>
      <c r="AE222" s="8">
        <v>14.9</v>
      </c>
      <c r="AF222" s="6"/>
      <c r="AG222" s="8">
        <v>27.7</v>
      </c>
      <c r="AH222" s="8">
        <v>55.31</v>
      </c>
      <c r="AI222" s="8">
        <v>1.75</v>
      </c>
      <c r="AJ222" s="8">
        <v>9.4</v>
      </c>
      <c r="AK222" s="8">
        <v>13.34</v>
      </c>
      <c r="AL222" s="8">
        <v>2.5</v>
      </c>
      <c r="AM222" s="8">
        <v>66</v>
      </c>
      <c r="AN222" s="8">
        <v>4.09</v>
      </c>
      <c r="AO222" s="8">
        <v>1.68</v>
      </c>
      <c r="AP222" s="8">
        <v>98.76</v>
      </c>
      <c r="AQ222" s="8">
        <v>0</v>
      </c>
      <c r="AR222" s="6"/>
      <c r="AS222" s="6"/>
      <c r="AT222" s="8">
        <v>0</v>
      </c>
      <c r="AU222" s="8">
        <v>20.3</v>
      </c>
      <c r="AV222" s="8">
        <v>20.3</v>
      </c>
      <c r="AW222" s="6"/>
      <c r="AX222" s="6"/>
      <c r="AY222" s="6"/>
      <c r="AZ222" s="6"/>
      <c r="BA222" s="6"/>
      <c r="BB222" s="6"/>
      <c r="BC222" s="8">
        <v>0.3</v>
      </c>
      <c r="BD222" s="8">
        <v>0.3</v>
      </c>
      <c r="BE222" s="8">
        <v>0</v>
      </c>
      <c r="BF222" s="8">
        <v>22</v>
      </c>
      <c r="BG222" s="8">
        <v>22</v>
      </c>
      <c r="BH222" s="6"/>
      <c r="BI222" s="6"/>
      <c r="BJ222" s="6"/>
      <c r="BK222" s="6"/>
      <c r="BL222" s="8">
        <v>540.34</v>
      </c>
      <c r="BM222" s="6"/>
      <c r="BN222" s="8">
        <v>63.62</v>
      </c>
      <c r="BO222" s="8">
        <v>122.85</v>
      </c>
      <c r="BP222" s="6"/>
      <c r="BQ222" s="8">
        <v>101.3</v>
      </c>
      <c r="BR222" s="8">
        <v>287.77</v>
      </c>
      <c r="BS222" s="8">
        <v>287.77</v>
      </c>
      <c r="BT222" s="8">
        <v>36</v>
      </c>
      <c r="BU222" s="8">
        <v>36</v>
      </c>
      <c r="BV222" s="8">
        <v>36</v>
      </c>
      <c r="BW222" s="6"/>
      <c r="BX222" s="6"/>
      <c r="BY222" s="6"/>
      <c r="BZ222" s="6"/>
      <c r="CA222" s="6"/>
      <c r="CB222" s="6"/>
      <c r="CC222" s="6"/>
      <c r="CD222" s="6"/>
      <c r="CE222" s="6"/>
      <c r="CF222" s="6"/>
      <c r="CG222" s="9">
        <v>864.11</v>
      </c>
    </row>
    <row r="223" spans="1:85" x14ac:dyDescent="0.3">
      <c r="A223" s="3" t="str">
        <f t="shared" si="5"/>
        <v>NON ADDOther Non-ADDAGEP Graduate Research SupplementsTotal</v>
      </c>
      <c r="B223" s="6" t="s">
        <v>223</v>
      </c>
      <c r="C223" s="6" t="s">
        <v>294</v>
      </c>
      <c r="D223" s="6" t="s">
        <v>295</v>
      </c>
      <c r="E223" s="6" t="s">
        <v>24</v>
      </c>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8">
        <v>0.25</v>
      </c>
      <c r="AJ223" s="8">
        <v>0.3</v>
      </c>
      <c r="AK223" s="8">
        <v>0.34</v>
      </c>
      <c r="AL223" s="8">
        <v>0.5</v>
      </c>
      <c r="AM223" s="8">
        <v>4.8</v>
      </c>
      <c r="AN223" s="8">
        <v>0.45</v>
      </c>
      <c r="AO223" s="8">
        <v>0</v>
      </c>
      <c r="AP223" s="8">
        <v>6.64</v>
      </c>
      <c r="AQ223" s="6"/>
      <c r="AR223" s="6"/>
      <c r="AS223" s="6"/>
      <c r="AT223" s="6"/>
      <c r="AU223" s="6"/>
      <c r="AV223" s="6"/>
      <c r="AW223" s="6"/>
      <c r="AX223" s="6"/>
      <c r="AY223" s="6"/>
      <c r="AZ223" s="6"/>
      <c r="BA223" s="6"/>
      <c r="BB223" s="6"/>
      <c r="BC223" s="6"/>
      <c r="BD223" s="6"/>
      <c r="BE223" s="6"/>
      <c r="BF223" s="6"/>
      <c r="BG223" s="6"/>
      <c r="BH223" s="6"/>
      <c r="BI223" s="6"/>
      <c r="BJ223" s="6"/>
      <c r="BK223" s="6"/>
      <c r="BL223" s="8">
        <v>6.64</v>
      </c>
      <c r="BM223" s="6"/>
      <c r="BN223" s="6"/>
      <c r="BO223" s="6"/>
      <c r="BP223" s="6"/>
      <c r="BQ223" s="6"/>
      <c r="BR223" s="6"/>
      <c r="BS223" s="6"/>
      <c r="BT223" s="6"/>
      <c r="BU223" s="6"/>
      <c r="BV223" s="6"/>
      <c r="BW223" s="6"/>
      <c r="BX223" s="6"/>
      <c r="BY223" s="6"/>
      <c r="BZ223" s="6"/>
      <c r="CA223" s="6"/>
      <c r="CB223" s="6"/>
      <c r="CC223" s="6"/>
      <c r="CD223" s="6"/>
      <c r="CE223" s="6"/>
      <c r="CF223" s="6"/>
      <c r="CG223" s="9">
        <v>6.64</v>
      </c>
    </row>
    <row r="224" spans="1:85" x14ac:dyDescent="0.3">
      <c r="A224" s="3" t="str">
        <f t="shared" si="5"/>
        <v>NON ADDOther Non-ADDAIMS PreconstructionTotal</v>
      </c>
      <c r="B224" s="6" t="s">
        <v>223</v>
      </c>
      <c r="C224" s="6" t="s">
        <v>294</v>
      </c>
      <c r="D224" s="6" t="s">
        <v>296</v>
      </c>
      <c r="E224" s="6" t="s">
        <v>24</v>
      </c>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8">
        <v>0</v>
      </c>
      <c r="AF224" s="6"/>
      <c r="AG224" s="6"/>
      <c r="AH224" s="8">
        <v>0</v>
      </c>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8">
        <v>0</v>
      </c>
      <c r="BM224" s="6"/>
      <c r="BN224" s="6"/>
      <c r="BO224" s="6"/>
      <c r="BP224" s="6"/>
      <c r="BQ224" s="6"/>
      <c r="BR224" s="6"/>
      <c r="BS224" s="6"/>
      <c r="BT224" s="6"/>
      <c r="BU224" s="6"/>
      <c r="BV224" s="6"/>
      <c r="BW224" s="6"/>
      <c r="BX224" s="6"/>
      <c r="BY224" s="6"/>
      <c r="BZ224" s="6"/>
      <c r="CA224" s="6"/>
      <c r="CB224" s="6"/>
      <c r="CC224" s="6"/>
      <c r="CD224" s="6"/>
      <c r="CE224" s="6"/>
      <c r="CF224" s="6"/>
      <c r="CG224" s="9">
        <v>0</v>
      </c>
    </row>
    <row r="225" spans="1:85" x14ac:dyDescent="0.3">
      <c r="A225" s="3" t="str">
        <f t="shared" si="5"/>
        <v>NON ADDOther Non-ADDAntarctic Research VesselTotal</v>
      </c>
      <c r="B225" s="6" t="s">
        <v>223</v>
      </c>
      <c r="C225" s="6" t="s">
        <v>294</v>
      </c>
      <c r="D225" s="6" t="s">
        <v>297</v>
      </c>
      <c r="E225" s="6" t="s">
        <v>24</v>
      </c>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8">
        <v>6.9</v>
      </c>
      <c r="AF225" s="6"/>
      <c r="AG225" s="6"/>
      <c r="AH225" s="8">
        <v>6.9</v>
      </c>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8">
        <v>6.9</v>
      </c>
      <c r="BM225" s="6"/>
      <c r="BN225" s="6"/>
      <c r="BO225" s="6"/>
      <c r="BP225" s="6"/>
      <c r="BQ225" s="6"/>
      <c r="BR225" s="6"/>
      <c r="BS225" s="6"/>
      <c r="BT225" s="6"/>
      <c r="BU225" s="6"/>
      <c r="BV225" s="6"/>
      <c r="BW225" s="6"/>
      <c r="BX225" s="6"/>
      <c r="BY225" s="6"/>
      <c r="BZ225" s="6"/>
      <c r="CA225" s="6"/>
      <c r="CB225" s="6"/>
      <c r="CC225" s="6"/>
      <c r="CD225" s="6"/>
      <c r="CE225" s="6"/>
      <c r="CF225" s="6"/>
      <c r="CG225" s="9">
        <v>6.9</v>
      </c>
    </row>
    <row r="226" spans="1:85" x14ac:dyDescent="0.3">
      <c r="A226" s="3" t="str">
        <f t="shared" si="5"/>
        <v>NON ADDOther Non-ADDBroadening Participation in Biology Fellowships (incl. in PRFB)Total</v>
      </c>
      <c r="B226" s="6" t="s">
        <v>223</v>
      </c>
      <c r="C226" s="6" t="s">
        <v>294</v>
      </c>
      <c r="D226" s="6" t="s">
        <v>298</v>
      </c>
      <c r="E226" s="6" t="s">
        <v>24</v>
      </c>
      <c r="F226" s="6"/>
      <c r="G226" s="6"/>
      <c r="H226" s="6"/>
      <c r="I226" s="6"/>
      <c r="J226" s="6"/>
      <c r="K226" s="8">
        <v>5</v>
      </c>
      <c r="L226" s="8">
        <v>5</v>
      </c>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8">
        <v>5</v>
      </c>
      <c r="BM226" s="6"/>
      <c r="BN226" s="6"/>
      <c r="BO226" s="6"/>
      <c r="BP226" s="6"/>
      <c r="BQ226" s="6"/>
      <c r="BR226" s="6"/>
      <c r="BS226" s="6"/>
      <c r="BT226" s="6"/>
      <c r="BU226" s="6"/>
      <c r="BV226" s="6"/>
      <c r="BW226" s="6"/>
      <c r="BX226" s="6"/>
      <c r="BY226" s="6"/>
      <c r="BZ226" s="6"/>
      <c r="CA226" s="6"/>
      <c r="CB226" s="6"/>
      <c r="CC226" s="6"/>
      <c r="CD226" s="6"/>
      <c r="CE226" s="6"/>
      <c r="CF226" s="6"/>
      <c r="CG226" s="9">
        <v>5</v>
      </c>
    </row>
    <row r="227" spans="1:85" x14ac:dyDescent="0.3">
      <c r="A227" s="3" t="str">
        <f t="shared" si="5"/>
        <v>NON ADDOther Non-ADDBroadening Participation in Engineering (BPE)Total</v>
      </c>
      <c r="B227" s="6" t="s">
        <v>223</v>
      </c>
      <c r="C227" s="6" t="s">
        <v>294</v>
      </c>
      <c r="D227" s="6" t="s">
        <v>299</v>
      </c>
      <c r="E227" s="6" t="s">
        <v>24</v>
      </c>
      <c r="F227" s="6"/>
      <c r="G227" s="6"/>
      <c r="H227" s="6"/>
      <c r="I227" s="6"/>
      <c r="J227" s="6"/>
      <c r="K227" s="6"/>
      <c r="L227" s="6"/>
      <c r="M227" s="6"/>
      <c r="N227" s="6"/>
      <c r="O227" s="6"/>
      <c r="P227" s="6"/>
      <c r="Q227" s="6"/>
      <c r="R227" s="6"/>
      <c r="S227" s="6"/>
      <c r="T227" s="6"/>
      <c r="U227" s="6"/>
      <c r="V227" s="6"/>
      <c r="W227" s="6"/>
      <c r="X227" s="6"/>
      <c r="Y227" s="6"/>
      <c r="Z227" s="8">
        <v>7.5</v>
      </c>
      <c r="AA227" s="8">
        <v>7.5</v>
      </c>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8">
        <v>7.5</v>
      </c>
      <c r="BM227" s="6"/>
      <c r="BN227" s="6"/>
      <c r="BO227" s="6"/>
      <c r="BP227" s="6"/>
      <c r="BQ227" s="6"/>
      <c r="BR227" s="6"/>
      <c r="BS227" s="6"/>
      <c r="BT227" s="6"/>
      <c r="BU227" s="6"/>
      <c r="BV227" s="6"/>
      <c r="BW227" s="6"/>
      <c r="BX227" s="6"/>
      <c r="BY227" s="6"/>
      <c r="BZ227" s="6"/>
      <c r="CA227" s="6"/>
      <c r="CB227" s="6"/>
      <c r="CC227" s="6"/>
      <c r="CD227" s="6"/>
      <c r="CE227" s="6"/>
      <c r="CF227" s="6"/>
      <c r="CG227" s="9">
        <v>7.5</v>
      </c>
    </row>
    <row r="228" spans="1:85" x14ac:dyDescent="0.3">
      <c r="A228" s="3" t="str">
        <f t="shared" si="5"/>
        <v>NON ADDOther Non-ADDCISE Education and WorkforceTotal</v>
      </c>
      <c r="B228" s="6" t="s">
        <v>223</v>
      </c>
      <c r="C228" s="6" t="s">
        <v>294</v>
      </c>
      <c r="D228" s="6" t="s">
        <v>300</v>
      </c>
      <c r="E228" s="6" t="s">
        <v>24</v>
      </c>
      <c r="F228" s="6"/>
      <c r="G228" s="6"/>
      <c r="H228" s="6"/>
      <c r="I228" s="6"/>
      <c r="J228" s="6"/>
      <c r="K228" s="6"/>
      <c r="L228" s="6"/>
      <c r="M228" s="6"/>
      <c r="N228" s="6"/>
      <c r="O228" s="6"/>
      <c r="P228" s="6"/>
      <c r="Q228" s="6"/>
      <c r="R228" s="8">
        <v>14.75</v>
      </c>
      <c r="S228" s="8">
        <v>14.75</v>
      </c>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8">
        <v>14.75</v>
      </c>
      <c r="BM228" s="6"/>
      <c r="BN228" s="6"/>
      <c r="BO228" s="6"/>
      <c r="BP228" s="6"/>
      <c r="BQ228" s="6"/>
      <c r="BR228" s="6"/>
      <c r="BS228" s="6"/>
      <c r="BT228" s="6"/>
      <c r="BU228" s="6"/>
      <c r="BV228" s="6"/>
      <c r="BW228" s="6"/>
      <c r="BX228" s="6"/>
      <c r="BY228" s="6"/>
      <c r="BZ228" s="6"/>
      <c r="CA228" s="6"/>
      <c r="CB228" s="6"/>
      <c r="CC228" s="6"/>
      <c r="CD228" s="6"/>
      <c r="CE228" s="6"/>
      <c r="CF228" s="6"/>
      <c r="CG228" s="9">
        <v>14.75</v>
      </c>
    </row>
    <row r="229" spans="1:85" x14ac:dyDescent="0.3">
      <c r="A229" s="3" t="str">
        <f t="shared" si="5"/>
        <v>NON ADDOther Non-ADDCISE-MSI Research Expansion ProgramTotal</v>
      </c>
      <c r="B229" s="6" t="s">
        <v>223</v>
      </c>
      <c r="C229" s="6" t="s">
        <v>294</v>
      </c>
      <c r="D229" s="6" t="s">
        <v>301</v>
      </c>
      <c r="E229" s="6" t="s">
        <v>24</v>
      </c>
      <c r="F229" s="6"/>
      <c r="G229" s="6"/>
      <c r="H229" s="6"/>
      <c r="I229" s="6"/>
      <c r="J229" s="6"/>
      <c r="K229" s="6"/>
      <c r="L229" s="6"/>
      <c r="M229" s="6"/>
      <c r="N229" s="6"/>
      <c r="O229" s="6"/>
      <c r="P229" s="6"/>
      <c r="Q229" s="6"/>
      <c r="R229" s="8">
        <v>3</v>
      </c>
      <c r="S229" s="8">
        <v>3</v>
      </c>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8">
        <v>3</v>
      </c>
      <c r="BM229" s="6"/>
      <c r="BN229" s="6"/>
      <c r="BO229" s="6"/>
      <c r="BP229" s="6"/>
      <c r="BQ229" s="6"/>
      <c r="BR229" s="6"/>
      <c r="BS229" s="6"/>
      <c r="BT229" s="6"/>
      <c r="BU229" s="6"/>
      <c r="BV229" s="6"/>
      <c r="BW229" s="6"/>
      <c r="BX229" s="6"/>
      <c r="BY229" s="6"/>
      <c r="BZ229" s="6"/>
      <c r="CA229" s="6"/>
      <c r="CB229" s="6"/>
      <c r="CC229" s="6"/>
      <c r="CD229" s="6"/>
      <c r="CE229" s="6"/>
      <c r="CF229" s="6"/>
      <c r="CG229" s="9">
        <v>3</v>
      </c>
    </row>
    <row r="230" spans="1:85" x14ac:dyDescent="0.3">
      <c r="A230" s="3" t="str">
        <f t="shared" si="5"/>
        <v>NON ADDOther Non-ADDCOVID Disproportionate Impacts to Institutions/IndividualsTotal</v>
      </c>
      <c r="B230" s="6" t="s">
        <v>223</v>
      </c>
      <c r="C230" s="6" t="s">
        <v>294</v>
      </c>
      <c r="D230" s="6" t="s">
        <v>302</v>
      </c>
      <c r="E230" s="6" t="s">
        <v>24</v>
      </c>
      <c r="F230" s="6"/>
      <c r="G230" s="6"/>
      <c r="H230" s="6"/>
      <c r="I230" s="6"/>
      <c r="J230" s="6"/>
      <c r="K230" s="8">
        <v>60.02</v>
      </c>
      <c r="L230" s="8">
        <v>60.02</v>
      </c>
      <c r="M230" s="6"/>
      <c r="N230" s="6"/>
      <c r="O230" s="6"/>
      <c r="P230" s="6"/>
      <c r="Q230" s="6"/>
      <c r="R230" s="6"/>
      <c r="S230" s="6"/>
      <c r="T230" s="6"/>
      <c r="U230" s="6"/>
      <c r="V230" s="6"/>
      <c r="W230" s="6"/>
      <c r="X230" s="6"/>
      <c r="Y230" s="6"/>
      <c r="Z230" s="8">
        <v>15</v>
      </c>
      <c r="AA230" s="8">
        <v>15</v>
      </c>
      <c r="AB230" s="6"/>
      <c r="AC230" s="6"/>
      <c r="AD230" s="6"/>
      <c r="AE230" s="8">
        <v>3</v>
      </c>
      <c r="AF230" s="6"/>
      <c r="AG230" s="6"/>
      <c r="AH230" s="8">
        <v>3</v>
      </c>
      <c r="AI230" s="6"/>
      <c r="AJ230" s="6"/>
      <c r="AK230" s="6"/>
      <c r="AL230" s="6"/>
      <c r="AM230" s="6"/>
      <c r="AN230" s="8">
        <v>0.05</v>
      </c>
      <c r="AO230" s="8">
        <v>1</v>
      </c>
      <c r="AP230" s="8">
        <v>1.05</v>
      </c>
      <c r="AQ230" s="6"/>
      <c r="AR230" s="6"/>
      <c r="AS230" s="6"/>
      <c r="AT230" s="6"/>
      <c r="AU230" s="8">
        <v>0</v>
      </c>
      <c r="AV230" s="8">
        <v>0</v>
      </c>
      <c r="AW230" s="6"/>
      <c r="AX230" s="6"/>
      <c r="AY230" s="6"/>
      <c r="AZ230" s="6"/>
      <c r="BA230" s="6"/>
      <c r="BB230" s="6"/>
      <c r="BC230" s="6"/>
      <c r="BD230" s="6"/>
      <c r="BE230" s="8">
        <v>0</v>
      </c>
      <c r="BF230" s="8">
        <v>0</v>
      </c>
      <c r="BG230" s="8">
        <v>0</v>
      </c>
      <c r="BH230" s="6"/>
      <c r="BI230" s="6"/>
      <c r="BJ230" s="6"/>
      <c r="BK230" s="6"/>
      <c r="BL230" s="8">
        <v>79.069999999999993</v>
      </c>
      <c r="BM230" s="6"/>
      <c r="BN230" s="6"/>
      <c r="BO230" s="6"/>
      <c r="BP230" s="6"/>
      <c r="BQ230" s="8">
        <v>100</v>
      </c>
      <c r="BR230" s="8">
        <v>100</v>
      </c>
      <c r="BS230" s="8">
        <v>100</v>
      </c>
      <c r="BT230" s="6"/>
      <c r="BU230" s="6"/>
      <c r="BV230" s="6"/>
      <c r="BW230" s="6"/>
      <c r="BX230" s="6"/>
      <c r="BY230" s="6"/>
      <c r="BZ230" s="6"/>
      <c r="CA230" s="6"/>
      <c r="CB230" s="6"/>
      <c r="CC230" s="6"/>
      <c r="CD230" s="6"/>
      <c r="CE230" s="6"/>
      <c r="CF230" s="6"/>
      <c r="CG230" s="9">
        <v>179.07</v>
      </c>
    </row>
    <row r="231" spans="1:85" x14ac:dyDescent="0.3">
      <c r="A231" s="3" t="str">
        <f t="shared" si="5"/>
        <v>NON ADDOther Non-ADDCOVID ResearchTotal</v>
      </c>
      <c r="B231" s="6" t="s">
        <v>223</v>
      </c>
      <c r="C231" s="6" t="s">
        <v>294</v>
      </c>
      <c r="D231" s="6" t="s">
        <v>303</v>
      </c>
      <c r="E231" s="6" t="s">
        <v>24</v>
      </c>
      <c r="F231" s="6"/>
      <c r="G231" s="6"/>
      <c r="H231" s="6"/>
      <c r="I231" s="6"/>
      <c r="J231" s="6"/>
      <c r="K231" s="8">
        <v>17.2</v>
      </c>
      <c r="L231" s="8">
        <v>17.2</v>
      </c>
      <c r="M231" s="6"/>
      <c r="N231" s="6"/>
      <c r="O231" s="6"/>
      <c r="P231" s="6"/>
      <c r="Q231" s="6"/>
      <c r="R231" s="6"/>
      <c r="S231" s="6"/>
      <c r="T231" s="6"/>
      <c r="U231" s="6"/>
      <c r="V231" s="6"/>
      <c r="W231" s="6"/>
      <c r="X231" s="6"/>
      <c r="Y231" s="6"/>
      <c r="Z231" s="8">
        <v>9</v>
      </c>
      <c r="AA231" s="8">
        <v>9</v>
      </c>
      <c r="AB231" s="6"/>
      <c r="AC231" s="6"/>
      <c r="AD231" s="6"/>
      <c r="AE231" s="8">
        <v>1</v>
      </c>
      <c r="AF231" s="6"/>
      <c r="AG231" s="6"/>
      <c r="AH231" s="8">
        <v>1</v>
      </c>
      <c r="AI231" s="6"/>
      <c r="AJ231" s="6"/>
      <c r="AK231" s="6"/>
      <c r="AL231" s="6"/>
      <c r="AM231" s="6"/>
      <c r="AN231" s="8">
        <v>0.3</v>
      </c>
      <c r="AO231" s="8">
        <v>0.65</v>
      </c>
      <c r="AP231" s="8">
        <v>0.95</v>
      </c>
      <c r="AQ231" s="6"/>
      <c r="AR231" s="6"/>
      <c r="AS231" s="6"/>
      <c r="AT231" s="6"/>
      <c r="AU231" s="8">
        <v>8</v>
      </c>
      <c r="AV231" s="8">
        <v>8</v>
      </c>
      <c r="AW231" s="6"/>
      <c r="AX231" s="6"/>
      <c r="AY231" s="6"/>
      <c r="AZ231" s="6"/>
      <c r="BA231" s="6"/>
      <c r="BB231" s="6"/>
      <c r="BC231" s="6"/>
      <c r="BD231" s="6"/>
      <c r="BE231" s="6"/>
      <c r="BF231" s="6"/>
      <c r="BG231" s="6"/>
      <c r="BH231" s="6"/>
      <c r="BI231" s="6"/>
      <c r="BJ231" s="6"/>
      <c r="BK231" s="6"/>
      <c r="BL231" s="8">
        <v>36.15</v>
      </c>
      <c r="BM231" s="6"/>
      <c r="BN231" s="6"/>
      <c r="BO231" s="6"/>
      <c r="BP231" s="6"/>
      <c r="BQ231" s="8">
        <v>1</v>
      </c>
      <c r="BR231" s="8">
        <v>1</v>
      </c>
      <c r="BS231" s="8">
        <v>1</v>
      </c>
      <c r="BT231" s="6"/>
      <c r="BU231" s="6"/>
      <c r="BV231" s="6"/>
      <c r="BW231" s="6"/>
      <c r="BX231" s="6"/>
      <c r="BY231" s="6"/>
      <c r="BZ231" s="6"/>
      <c r="CA231" s="6"/>
      <c r="CB231" s="6"/>
      <c r="CC231" s="6"/>
      <c r="CD231" s="6"/>
      <c r="CE231" s="6"/>
      <c r="CF231" s="6"/>
      <c r="CG231" s="9">
        <v>37.15</v>
      </c>
    </row>
    <row r="232" spans="1:85" x14ac:dyDescent="0.3">
      <c r="A232" s="3" t="str">
        <f t="shared" si="5"/>
        <v>NON ADDOther Non-ADDCOVID-19 ImpactsTotal</v>
      </c>
      <c r="B232" s="6" t="s">
        <v>223</v>
      </c>
      <c r="C232" s="6" t="s">
        <v>294</v>
      </c>
      <c r="D232" s="6" t="s">
        <v>304</v>
      </c>
      <c r="E232" s="6" t="s">
        <v>24</v>
      </c>
      <c r="F232" s="6"/>
      <c r="G232" s="6"/>
      <c r="H232" s="6"/>
      <c r="I232" s="6"/>
      <c r="J232" s="6"/>
      <c r="K232" s="8">
        <v>5.71</v>
      </c>
      <c r="L232" s="8">
        <v>5.71</v>
      </c>
      <c r="M232" s="6"/>
      <c r="N232" s="6"/>
      <c r="O232" s="6"/>
      <c r="P232" s="6"/>
      <c r="Q232" s="6"/>
      <c r="R232" s="6"/>
      <c r="S232" s="6"/>
      <c r="T232" s="6"/>
      <c r="U232" s="6"/>
      <c r="V232" s="6"/>
      <c r="W232" s="6"/>
      <c r="X232" s="6"/>
      <c r="Y232" s="6"/>
      <c r="Z232" s="8">
        <v>0.75</v>
      </c>
      <c r="AA232" s="8">
        <v>0.75</v>
      </c>
      <c r="AB232" s="6"/>
      <c r="AC232" s="6"/>
      <c r="AD232" s="6"/>
      <c r="AE232" s="8">
        <v>2</v>
      </c>
      <c r="AF232" s="6"/>
      <c r="AG232" s="6"/>
      <c r="AH232" s="8">
        <v>2</v>
      </c>
      <c r="AI232" s="6"/>
      <c r="AJ232" s="6"/>
      <c r="AK232" s="6"/>
      <c r="AL232" s="6"/>
      <c r="AM232" s="6"/>
      <c r="AN232" s="6"/>
      <c r="AO232" s="8">
        <v>0.03</v>
      </c>
      <c r="AP232" s="8">
        <v>0.03</v>
      </c>
      <c r="AQ232" s="6"/>
      <c r="AR232" s="6"/>
      <c r="AS232" s="6"/>
      <c r="AT232" s="6"/>
      <c r="AU232" s="6"/>
      <c r="AV232" s="6"/>
      <c r="AW232" s="6"/>
      <c r="AX232" s="6"/>
      <c r="AY232" s="6"/>
      <c r="AZ232" s="6"/>
      <c r="BA232" s="6"/>
      <c r="BB232" s="6"/>
      <c r="BC232" s="6"/>
      <c r="BD232" s="6"/>
      <c r="BE232" s="6"/>
      <c r="BF232" s="6"/>
      <c r="BG232" s="6"/>
      <c r="BH232" s="6"/>
      <c r="BI232" s="6"/>
      <c r="BJ232" s="6"/>
      <c r="BK232" s="6"/>
      <c r="BL232" s="8">
        <v>8.49</v>
      </c>
      <c r="BM232" s="6"/>
      <c r="BN232" s="6"/>
      <c r="BO232" s="8">
        <v>1</v>
      </c>
      <c r="BP232" s="6"/>
      <c r="BQ232" s="6"/>
      <c r="BR232" s="8">
        <v>1</v>
      </c>
      <c r="BS232" s="8">
        <v>1</v>
      </c>
      <c r="BT232" s="6"/>
      <c r="BU232" s="6"/>
      <c r="BV232" s="6"/>
      <c r="BW232" s="6"/>
      <c r="BX232" s="6"/>
      <c r="BY232" s="6"/>
      <c r="BZ232" s="6"/>
      <c r="CA232" s="6"/>
      <c r="CB232" s="6"/>
      <c r="CC232" s="6"/>
      <c r="CD232" s="6"/>
      <c r="CE232" s="6"/>
      <c r="CF232" s="6"/>
      <c r="CG232" s="9">
        <v>9.49</v>
      </c>
    </row>
    <row r="233" spans="1:85" x14ac:dyDescent="0.3">
      <c r="A233" s="3" t="str">
        <f t="shared" si="5"/>
        <v>NON ADDOther Non-ADDDisability and Rehabilitation Engineering (DARE)Total</v>
      </c>
      <c r="B233" s="6" t="s">
        <v>223</v>
      </c>
      <c r="C233" s="6" t="s">
        <v>294</v>
      </c>
      <c r="D233" s="6" t="s">
        <v>305</v>
      </c>
      <c r="E233" s="6" t="s">
        <v>24</v>
      </c>
      <c r="F233" s="6"/>
      <c r="G233" s="6"/>
      <c r="H233" s="6"/>
      <c r="I233" s="6"/>
      <c r="J233" s="6"/>
      <c r="K233" s="6"/>
      <c r="L233" s="6"/>
      <c r="M233" s="6"/>
      <c r="N233" s="6"/>
      <c r="O233" s="6"/>
      <c r="P233" s="6"/>
      <c r="Q233" s="6"/>
      <c r="R233" s="6"/>
      <c r="S233" s="6"/>
      <c r="T233" s="6"/>
      <c r="U233" s="6"/>
      <c r="V233" s="6"/>
      <c r="W233" s="6"/>
      <c r="X233" s="6"/>
      <c r="Y233" s="6"/>
      <c r="Z233" s="8">
        <v>5.0999999999999996</v>
      </c>
      <c r="AA233" s="8">
        <v>5.0999999999999996</v>
      </c>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8">
        <v>5.0999999999999996</v>
      </c>
      <c r="BM233" s="6"/>
      <c r="BN233" s="6"/>
      <c r="BO233" s="6"/>
      <c r="BP233" s="6"/>
      <c r="BQ233" s="6"/>
      <c r="BR233" s="6"/>
      <c r="BS233" s="6"/>
      <c r="BT233" s="6"/>
      <c r="BU233" s="6"/>
      <c r="BV233" s="6"/>
      <c r="BW233" s="6"/>
      <c r="BX233" s="6"/>
      <c r="BY233" s="6"/>
      <c r="BZ233" s="6"/>
      <c r="CA233" s="6"/>
      <c r="CB233" s="6"/>
      <c r="CC233" s="6"/>
      <c r="CD233" s="6"/>
      <c r="CE233" s="6"/>
      <c r="CF233" s="6"/>
      <c r="CG233" s="9">
        <v>5.0999999999999996</v>
      </c>
    </row>
    <row r="234" spans="1:85" x14ac:dyDescent="0.3">
      <c r="A234" s="3" t="str">
        <f t="shared" si="5"/>
        <v>NON ADDOther Non-ADDEthical and Responsible Research (ER2)Total</v>
      </c>
      <c r="B234" s="6" t="s">
        <v>223</v>
      </c>
      <c r="C234" s="6" t="s">
        <v>294</v>
      </c>
      <c r="D234" s="6" t="s">
        <v>306</v>
      </c>
      <c r="E234" s="6" t="s">
        <v>24</v>
      </c>
      <c r="F234" s="6"/>
      <c r="G234" s="6"/>
      <c r="H234" s="6"/>
      <c r="I234" s="6"/>
      <c r="J234" s="6"/>
      <c r="K234" s="8">
        <v>0.6</v>
      </c>
      <c r="L234" s="8">
        <v>0.6</v>
      </c>
      <c r="M234" s="6"/>
      <c r="N234" s="6"/>
      <c r="O234" s="6"/>
      <c r="P234" s="6"/>
      <c r="Q234" s="6"/>
      <c r="R234" s="8">
        <v>0.75</v>
      </c>
      <c r="S234" s="8">
        <v>0.75</v>
      </c>
      <c r="T234" s="6"/>
      <c r="U234" s="6"/>
      <c r="V234" s="6"/>
      <c r="W234" s="6"/>
      <c r="X234" s="6"/>
      <c r="Y234" s="6"/>
      <c r="Z234" s="8">
        <v>0.4</v>
      </c>
      <c r="AA234" s="8">
        <v>0.4</v>
      </c>
      <c r="AB234" s="6"/>
      <c r="AC234" s="6"/>
      <c r="AD234" s="6"/>
      <c r="AE234" s="6"/>
      <c r="AF234" s="6"/>
      <c r="AG234" s="6"/>
      <c r="AH234" s="6"/>
      <c r="AI234" s="6"/>
      <c r="AJ234" s="6"/>
      <c r="AK234" s="6"/>
      <c r="AL234" s="6"/>
      <c r="AM234" s="6"/>
      <c r="AN234" s="6"/>
      <c r="AO234" s="6"/>
      <c r="AP234" s="6"/>
      <c r="AQ234" s="6"/>
      <c r="AR234" s="6"/>
      <c r="AS234" s="6"/>
      <c r="AT234" s="6"/>
      <c r="AU234" s="8">
        <v>2.2000000000000002</v>
      </c>
      <c r="AV234" s="8">
        <v>2.2000000000000002</v>
      </c>
      <c r="AW234" s="6"/>
      <c r="AX234" s="6"/>
      <c r="AY234" s="6"/>
      <c r="AZ234" s="6"/>
      <c r="BA234" s="6"/>
      <c r="BB234" s="6"/>
      <c r="BC234" s="8">
        <v>0.3</v>
      </c>
      <c r="BD234" s="8">
        <v>0.3</v>
      </c>
      <c r="BE234" s="6"/>
      <c r="BF234" s="6"/>
      <c r="BG234" s="6"/>
      <c r="BH234" s="6"/>
      <c r="BI234" s="6"/>
      <c r="BJ234" s="6"/>
      <c r="BK234" s="6"/>
      <c r="BL234" s="8">
        <v>4.25</v>
      </c>
      <c r="BM234" s="6"/>
      <c r="BN234" s="6"/>
      <c r="BO234" s="6"/>
      <c r="BP234" s="6"/>
      <c r="BQ234" s="8">
        <v>0.3</v>
      </c>
      <c r="BR234" s="8">
        <v>0.3</v>
      </c>
      <c r="BS234" s="8">
        <v>0.3</v>
      </c>
      <c r="BT234" s="6"/>
      <c r="BU234" s="6"/>
      <c r="BV234" s="6"/>
      <c r="BW234" s="6"/>
      <c r="BX234" s="6"/>
      <c r="BY234" s="6"/>
      <c r="BZ234" s="6"/>
      <c r="CA234" s="6"/>
      <c r="CB234" s="6"/>
      <c r="CC234" s="6"/>
      <c r="CD234" s="6"/>
      <c r="CE234" s="6"/>
      <c r="CF234" s="6"/>
      <c r="CG234" s="9">
        <v>4.55</v>
      </c>
    </row>
    <row r="235" spans="1:85" x14ac:dyDescent="0.3">
      <c r="A235" s="3" t="str">
        <f t="shared" si="5"/>
        <v>NON ADDOther Non-ADDGrant Opportunities for Academic Liaison with Industry (GOALI)Total</v>
      </c>
      <c r="B235" s="6" t="s">
        <v>223</v>
      </c>
      <c r="C235" s="6" t="s">
        <v>294</v>
      </c>
      <c r="D235" s="6" t="s">
        <v>307</v>
      </c>
      <c r="E235" s="6" t="s">
        <v>24</v>
      </c>
      <c r="F235" s="6"/>
      <c r="G235" s="6"/>
      <c r="H235" s="6"/>
      <c r="I235" s="6"/>
      <c r="J235" s="6"/>
      <c r="K235" s="6"/>
      <c r="L235" s="6"/>
      <c r="M235" s="6"/>
      <c r="N235" s="6"/>
      <c r="O235" s="6"/>
      <c r="P235" s="6"/>
      <c r="Q235" s="6"/>
      <c r="R235" s="6"/>
      <c r="S235" s="6"/>
      <c r="T235" s="6"/>
      <c r="U235" s="6"/>
      <c r="V235" s="6"/>
      <c r="W235" s="6"/>
      <c r="X235" s="6"/>
      <c r="Y235" s="6"/>
      <c r="Z235" s="8">
        <v>15</v>
      </c>
      <c r="AA235" s="8">
        <v>15</v>
      </c>
      <c r="AB235" s="6"/>
      <c r="AC235" s="6"/>
      <c r="AD235" s="6"/>
      <c r="AE235" s="6"/>
      <c r="AF235" s="6"/>
      <c r="AG235" s="6"/>
      <c r="AH235" s="6"/>
      <c r="AI235" s="6"/>
      <c r="AJ235" s="8">
        <v>2.5</v>
      </c>
      <c r="AK235" s="8">
        <v>2</v>
      </c>
      <c r="AL235" s="6"/>
      <c r="AM235" s="8">
        <v>0</v>
      </c>
      <c r="AN235" s="6"/>
      <c r="AO235" s="6"/>
      <c r="AP235" s="8">
        <v>4.5</v>
      </c>
      <c r="AQ235" s="6"/>
      <c r="AR235" s="6"/>
      <c r="AS235" s="6"/>
      <c r="AT235" s="6"/>
      <c r="AU235" s="6"/>
      <c r="AV235" s="6"/>
      <c r="AW235" s="6"/>
      <c r="AX235" s="6"/>
      <c r="AY235" s="6"/>
      <c r="AZ235" s="6"/>
      <c r="BA235" s="6"/>
      <c r="BB235" s="6"/>
      <c r="BC235" s="6"/>
      <c r="BD235" s="6"/>
      <c r="BE235" s="6"/>
      <c r="BF235" s="6"/>
      <c r="BG235" s="6"/>
      <c r="BH235" s="6"/>
      <c r="BI235" s="6"/>
      <c r="BJ235" s="6"/>
      <c r="BK235" s="6"/>
      <c r="BL235" s="8">
        <v>19.5</v>
      </c>
      <c r="BM235" s="6"/>
      <c r="BN235" s="6"/>
      <c r="BO235" s="6"/>
      <c r="BP235" s="6"/>
      <c r="BQ235" s="6"/>
      <c r="BR235" s="6"/>
      <c r="BS235" s="6"/>
      <c r="BT235" s="6"/>
      <c r="BU235" s="6"/>
      <c r="BV235" s="6"/>
      <c r="BW235" s="6"/>
      <c r="BX235" s="6"/>
      <c r="BY235" s="6"/>
      <c r="BZ235" s="6"/>
      <c r="CA235" s="6"/>
      <c r="CB235" s="6"/>
      <c r="CC235" s="6"/>
      <c r="CD235" s="6"/>
      <c r="CE235" s="6"/>
      <c r="CF235" s="6"/>
      <c r="CG235" s="9">
        <v>19.5</v>
      </c>
    </row>
    <row r="236" spans="1:85" x14ac:dyDescent="0.3">
      <c r="A236" s="3" t="str">
        <f t="shared" si="5"/>
        <v>NON ADDOther Non-ADDInnovative Technology Experiences for Teachers &amp; Students (ITEST)(H1-B)Total</v>
      </c>
      <c r="B236" s="6" t="s">
        <v>223</v>
      </c>
      <c r="C236" s="6" t="s">
        <v>294</v>
      </c>
      <c r="D236" s="6" t="s">
        <v>308</v>
      </c>
      <c r="E236" s="6" t="s">
        <v>24</v>
      </c>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8">
        <v>40.619999999999997</v>
      </c>
      <c r="BO236" s="6"/>
      <c r="BP236" s="6"/>
      <c r="BQ236" s="6"/>
      <c r="BR236" s="8">
        <v>40.619999999999997</v>
      </c>
      <c r="BS236" s="8">
        <v>40.619999999999997</v>
      </c>
      <c r="BT236" s="6"/>
      <c r="BU236" s="6"/>
      <c r="BV236" s="6"/>
      <c r="BW236" s="6"/>
      <c r="BX236" s="6"/>
      <c r="BY236" s="6"/>
      <c r="BZ236" s="6"/>
      <c r="CA236" s="6"/>
      <c r="CB236" s="6"/>
      <c r="CC236" s="6"/>
      <c r="CD236" s="6"/>
      <c r="CE236" s="6"/>
      <c r="CF236" s="6"/>
      <c r="CG236" s="9">
        <v>40.619999999999997</v>
      </c>
    </row>
    <row r="237" spans="1:85" x14ac:dyDescent="0.3">
      <c r="A237" s="3" t="str">
        <f t="shared" si="5"/>
        <v>NON ADDOther Non-ADDLeadership Class Computing FacilityTotal</v>
      </c>
      <c r="B237" s="6" t="s">
        <v>223</v>
      </c>
      <c r="C237" s="6" t="s">
        <v>294</v>
      </c>
      <c r="D237" s="6" t="s">
        <v>309</v>
      </c>
      <c r="E237" s="6" t="s">
        <v>24</v>
      </c>
      <c r="F237" s="6"/>
      <c r="G237" s="6"/>
      <c r="H237" s="6"/>
      <c r="I237" s="6"/>
      <c r="J237" s="6"/>
      <c r="K237" s="6"/>
      <c r="L237" s="6"/>
      <c r="M237" s="6"/>
      <c r="N237" s="6"/>
      <c r="O237" s="6"/>
      <c r="P237" s="6"/>
      <c r="Q237" s="8">
        <v>3.6</v>
      </c>
      <c r="R237" s="6"/>
      <c r="S237" s="8">
        <v>3.6</v>
      </c>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8">
        <v>3.6</v>
      </c>
      <c r="BM237" s="6"/>
      <c r="BN237" s="6"/>
      <c r="BO237" s="6"/>
      <c r="BP237" s="6"/>
      <c r="BQ237" s="6"/>
      <c r="BR237" s="6"/>
      <c r="BS237" s="6"/>
      <c r="BT237" s="6"/>
      <c r="BU237" s="6"/>
      <c r="BV237" s="6"/>
      <c r="BW237" s="6"/>
      <c r="BX237" s="6"/>
      <c r="BY237" s="6"/>
      <c r="BZ237" s="6"/>
      <c r="CA237" s="6"/>
      <c r="CB237" s="6"/>
      <c r="CC237" s="6"/>
      <c r="CD237" s="6"/>
      <c r="CE237" s="6"/>
      <c r="CF237" s="6"/>
      <c r="CG237" s="9">
        <v>3.6</v>
      </c>
    </row>
    <row r="238" spans="1:85" x14ac:dyDescent="0.3">
      <c r="A238" s="3" t="str">
        <f t="shared" si="5"/>
        <v>NON ADDOther Non-ADDLHC UpgradeTotal</v>
      </c>
      <c r="B238" s="6" t="s">
        <v>223</v>
      </c>
      <c r="C238" s="6" t="s">
        <v>294</v>
      </c>
      <c r="D238" s="6" t="s">
        <v>310</v>
      </c>
      <c r="E238" s="6" t="s">
        <v>24</v>
      </c>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8">
        <v>0</v>
      </c>
      <c r="AO238" s="6"/>
      <c r="AP238" s="8">
        <v>0</v>
      </c>
      <c r="AQ238" s="6"/>
      <c r="AR238" s="6"/>
      <c r="AS238" s="6"/>
      <c r="AT238" s="6"/>
      <c r="AU238" s="6"/>
      <c r="AV238" s="6"/>
      <c r="AW238" s="6"/>
      <c r="AX238" s="6"/>
      <c r="AY238" s="6"/>
      <c r="AZ238" s="6"/>
      <c r="BA238" s="6"/>
      <c r="BB238" s="6"/>
      <c r="BC238" s="6"/>
      <c r="BD238" s="6"/>
      <c r="BE238" s="6"/>
      <c r="BF238" s="6"/>
      <c r="BG238" s="6"/>
      <c r="BH238" s="6"/>
      <c r="BI238" s="6"/>
      <c r="BJ238" s="6"/>
      <c r="BK238" s="6"/>
      <c r="BL238" s="8">
        <v>0</v>
      </c>
      <c r="BM238" s="6"/>
      <c r="BN238" s="6"/>
      <c r="BO238" s="6"/>
      <c r="BP238" s="6"/>
      <c r="BQ238" s="6"/>
      <c r="BR238" s="6"/>
      <c r="BS238" s="6"/>
      <c r="BT238" s="8">
        <v>36</v>
      </c>
      <c r="BU238" s="8">
        <v>36</v>
      </c>
      <c r="BV238" s="8">
        <v>36</v>
      </c>
      <c r="BW238" s="6"/>
      <c r="BX238" s="6"/>
      <c r="BY238" s="6"/>
      <c r="BZ238" s="6"/>
      <c r="CA238" s="6"/>
      <c r="CB238" s="6"/>
      <c r="CC238" s="6"/>
      <c r="CD238" s="6"/>
      <c r="CE238" s="6"/>
      <c r="CF238" s="6"/>
      <c r="CG238" s="9">
        <v>36</v>
      </c>
    </row>
    <row r="239" spans="1:85" x14ac:dyDescent="0.3">
      <c r="A239" s="3" t="str">
        <f t="shared" si="5"/>
        <v>NON ADDOther Non-ADDLIGO EnhancementTotal</v>
      </c>
      <c r="B239" s="6" t="s">
        <v>223</v>
      </c>
      <c r="C239" s="6" t="s">
        <v>294</v>
      </c>
      <c r="D239" s="6" t="s">
        <v>311</v>
      </c>
      <c r="E239" s="6" t="s">
        <v>24</v>
      </c>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8">
        <v>0</v>
      </c>
      <c r="AO239" s="6"/>
      <c r="AP239" s="8">
        <v>0</v>
      </c>
      <c r="AQ239" s="6"/>
      <c r="AR239" s="6"/>
      <c r="AS239" s="6"/>
      <c r="AT239" s="6"/>
      <c r="AU239" s="6"/>
      <c r="AV239" s="6"/>
      <c r="AW239" s="6"/>
      <c r="AX239" s="6"/>
      <c r="AY239" s="6"/>
      <c r="AZ239" s="6"/>
      <c r="BA239" s="6"/>
      <c r="BB239" s="6"/>
      <c r="BC239" s="6"/>
      <c r="BD239" s="6"/>
      <c r="BE239" s="6"/>
      <c r="BF239" s="6"/>
      <c r="BG239" s="6"/>
      <c r="BH239" s="6"/>
      <c r="BI239" s="6"/>
      <c r="BJ239" s="6"/>
      <c r="BK239" s="6"/>
      <c r="BL239" s="8">
        <v>0</v>
      </c>
      <c r="BM239" s="6"/>
      <c r="BN239" s="6"/>
      <c r="BO239" s="6"/>
      <c r="BP239" s="6"/>
      <c r="BQ239" s="6"/>
      <c r="BR239" s="6"/>
      <c r="BS239" s="6"/>
      <c r="BT239" s="6"/>
      <c r="BU239" s="6"/>
      <c r="BV239" s="6"/>
      <c r="BW239" s="6"/>
      <c r="BX239" s="6"/>
      <c r="BY239" s="6"/>
      <c r="BZ239" s="6"/>
      <c r="CA239" s="6"/>
      <c r="CB239" s="6"/>
      <c r="CC239" s="6"/>
      <c r="CD239" s="6"/>
      <c r="CE239" s="6"/>
      <c r="CF239" s="6"/>
      <c r="CG239" s="9">
        <v>0</v>
      </c>
    </row>
    <row r="240" spans="1:85" x14ac:dyDescent="0.3">
      <c r="A240" s="3" t="str">
        <f t="shared" si="5"/>
        <v>NON ADDOther Non-ADDNational Earthquake Hazards Reduction Program (NEHRP)Total</v>
      </c>
      <c r="B240" s="6" t="s">
        <v>223</v>
      </c>
      <c r="C240" s="6" t="s">
        <v>294</v>
      </c>
      <c r="D240" s="6" t="s">
        <v>312</v>
      </c>
      <c r="E240" s="6" t="s">
        <v>24</v>
      </c>
      <c r="F240" s="6"/>
      <c r="G240" s="6"/>
      <c r="H240" s="6"/>
      <c r="I240" s="6"/>
      <c r="J240" s="6"/>
      <c r="K240" s="6"/>
      <c r="L240" s="6"/>
      <c r="M240" s="6"/>
      <c r="N240" s="6"/>
      <c r="O240" s="6"/>
      <c r="P240" s="6"/>
      <c r="Q240" s="6"/>
      <c r="R240" s="6"/>
      <c r="S240" s="6"/>
      <c r="T240" s="6"/>
      <c r="U240" s="6"/>
      <c r="V240" s="6"/>
      <c r="W240" s="6"/>
      <c r="X240" s="6"/>
      <c r="Y240" s="6"/>
      <c r="Z240" s="8">
        <v>39</v>
      </c>
      <c r="AA240" s="8">
        <v>39</v>
      </c>
      <c r="AB240" s="6"/>
      <c r="AC240" s="8">
        <v>12</v>
      </c>
      <c r="AD240" s="6"/>
      <c r="AE240" s="6"/>
      <c r="AF240" s="6"/>
      <c r="AG240" s="6"/>
      <c r="AH240" s="8">
        <v>12</v>
      </c>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8">
        <v>51</v>
      </c>
      <c r="BM240" s="6"/>
      <c r="BN240" s="6"/>
      <c r="BO240" s="6"/>
      <c r="BP240" s="6"/>
      <c r="BQ240" s="6"/>
      <c r="BR240" s="6"/>
      <c r="BS240" s="6"/>
      <c r="BT240" s="6"/>
      <c r="BU240" s="6"/>
      <c r="BV240" s="6"/>
      <c r="BW240" s="6"/>
      <c r="BX240" s="6"/>
      <c r="BY240" s="6"/>
      <c r="BZ240" s="6"/>
      <c r="CA240" s="6"/>
      <c r="CB240" s="6"/>
      <c r="CC240" s="6"/>
      <c r="CD240" s="6"/>
      <c r="CE240" s="6"/>
      <c r="CF240" s="6"/>
      <c r="CG240" s="9">
        <v>51</v>
      </c>
    </row>
    <row r="241" spans="1:85" x14ac:dyDescent="0.3">
      <c r="A241" s="3" t="str">
        <f t="shared" si="5"/>
        <v>NON ADDOther Non-ADDNSF Scholarships in STEM (S-STEM) (H-1B)Total</v>
      </c>
      <c r="B241" s="6" t="s">
        <v>223</v>
      </c>
      <c r="C241" s="6" t="s">
        <v>294</v>
      </c>
      <c r="D241" s="6" t="s">
        <v>313</v>
      </c>
      <c r="E241" s="6" t="s">
        <v>24</v>
      </c>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8">
        <v>121.85</v>
      </c>
      <c r="BP241" s="6"/>
      <c r="BQ241" s="6"/>
      <c r="BR241" s="8">
        <v>121.85</v>
      </c>
      <c r="BS241" s="8">
        <v>121.85</v>
      </c>
      <c r="BT241" s="6"/>
      <c r="BU241" s="6"/>
      <c r="BV241" s="6"/>
      <c r="BW241" s="6"/>
      <c r="BX241" s="6"/>
      <c r="BY241" s="6"/>
      <c r="BZ241" s="6"/>
      <c r="CA241" s="6"/>
      <c r="CB241" s="6"/>
      <c r="CC241" s="6"/>
      <c r="CD241" s="6"/>
      <c r="CE241" s="6"/>
      <c r="CF241" s="6"/>
      <c r="CG241" s="9">
        <v>121.85</v>
      </c>
    </row>
    <row r="242" spans="1:85" x14ac:dyDescent="0.3">
      <c r="A242" s="3" t="str">
        <f t="shared" si="5"/>
        <v>NON ADDOther Non-ADDPartnerships for Research &amp; Education in Materials (PREM)Total</v>
      </c>
      <c r="B242" s="6" t="s">
        <v>223</v>
      </c>
      <c r="C242" s="6" t="s">
        <v>294</v>
      </c>
      <c r="D242" s="6" t="s">
        <v>314</v>
      </c>
      <c r="E242" s="6" t="s">
        <v>24</v>
      </c>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8">
        <v>9</v>
      </c>
      <c r="AL242" s="6"/>
      <c r="AM242" s="6"/>
      <c r="AN242" s="6"/>
      <c r="AO242" s="6"/>
      <c r="AP242" s="8">
        <v>9</v>
      </c>
      <c r="AQ242" s="6"/>
      <c r="AR242" s="6"/>
      <c r="AS242" s="6"/>
      <c r="AT242" s="6"/>
      <c r="AU242" s="6"/>
      <c r="AV242" s="6"/>
      <c r="AW242" s="6"/>
      <c r="AX242" s="6"/>
      <c r="AY242" s="6"/>
      <c r="AZ242" s="6"/>
      <c r="BA242" s="6"/>
      <c r="BB242" s="6"/>
      <c r="BC242" s="6"/>
      <c r="BD242" s="6"/>
      <c r="BE242" s="6"/>
      <c r="BF242" s="6"/>
      <c r="BG242" s="6"/>
      <c r="BH242" s="6"/>
      <c r="BI242" s="6"/>
      <c r="BJ242" s="6"/>
      <c r="BK242" s="6"/>
      <c r="BL242" s="8">
        <v>9</v>
      </c>
      <c r="BM242" s="6"/>
      <c r="BN242" s="6"/>
      <c r="BO242" s="6"/>
      <c r="BP242" s="6"/>
      <c r="BQ242" s="6"/>
      <c r="BR242" s="6"/>
      <c r="BS242" s="6"/>
      <c r="BT242" s="6"/>
      <c r="BU242" s="6"/>
      <c r="BV242" s="6"/>
      <c r="BW242" s="6"/>
      <c r="BX242" s="6"/>
      <c r="BY242" s="6"/>
      <c r="BZ242" s="6"/>
      <c r="CA242" s="6"/>
      <c r="CB242" s="6"/>
      <c r="CC242" s="6"/>
      <c r="CD242" s="6"/>
      <c r="CE242" s="6"/>
      <c r="CF242" s="6"/>
      <c r="CG242" s="9">
        <v>9</v>
      </c>
    </row>
    <row r="243" spans="1:85" x14ac:dyDescent="0.3">
      <c r="A243" s="3" t="str">
        <f t="shared" si="5"/>
        <v>NON ADDOther Non-ADDPlant Genome ResearchTotal</v>
      </c>
      <c r="B243" s="6" t="s">
        <v>223</v>
      </c>
      <c r="C243" s="6" t="s">
        <v>294</v>
      </c>
      <c r="D243" s="6" t="s">
        <v>315</v>
      </c>
      <c r="E243" s="6" t="s">
        <v>24</v>
      </c>
      <c r="F243" s="6"/>
      <c r="G243" s="6"/>
      <c r="H243" s="6"/>
      <c r="I243" s="6"/>
      <c r="J243" s="6"/>
      <c r="K243" s="8">
        <v>48.22</v>
      </c>
      <c r="L243" s="8">
        <v>48.22</v>
      </c>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8">
        <v>48.22</v>
      </c>
      <c r="BM243" s="6"/>
      <c r="BN243" s="6"/>
      <c r="BO243" s="6"/>
      <c r="BP243" s="6"/>
      <c r="BQ243" s="6"/>
      <c r="BR243" s="6"/>
      <c r="BS243" s="6"/>
      <c r="BT243" s="6"/>
      <c r="BU243" s="6"/>
      <c r="BV243" s="6"/>
      <c r="BW243" s="6"/>
      <c r="BX243" s="6"/>
      <c r="BY243" s="6"/>
      <c r="BZ243" s="6"/>
      <c r="CA243" s="6"/>
      <c r="CB243" s="6"/>
      <c r="CC243" s="6"/>
      <c r="CD243" s="6"/>
      <c r="CE243" s="6"/>
      <c r="CF243" s="6"/>
      <c r="CG243" s="9">
        <v>48.22</v>
      </c>
    </row>
    <row r="244" spans="1:85" x14ac:dyDescent="0.3">
      <c r="A244" s="3" t="str">
        <f t="shared" si="5"/>
        <v>NON ADDOther Non-ADDQIS Research CentersTotal</v>
      </c>
      <c r="B244" s="6" t="s">
        <v>223</v>
      </c>
      <c r="C244" s="6" t="s">
        <v>294</v>
      </c>
      <c r="D244" s="6" t="s">
        <v>316</v>
      </c>
      <c r="E244" s="6" t="s">
        <v>24</v>
      </c>
      <c r="F244" s="6"/>
      <c r="G244" s="6"/>
      <c r="H244" s="6"/>
      <c r="I244" s="6"/>
      <c r="J244" s="6"/>
      <c r="K244" s="6"/>
      <c r="L244" s="6"/>
      <c r="M244" s="6"/>
      <c r="N244" s="6"/>
      <c r="O244" s="6"/>
      <c r="P244" s="6"/>
      <c r="Q244" s="6"/>
      <c r="R244" s="6"/>
      <c r="S244" s="6"/>
      <c r="T244" s="6"/>
      <c r="U244" s="6"/>
      <c r="V244" s="6"/>
      <c r="W244" s="6"/>
      <c r="X244" s="6"/>
      <c r="Y244" s="6"/>
      <c r="Z244" s="8">
        <v>6</v>
      </c>
      <c r="AA244" s="8">
        <v>6</v>
      </c>
      <c r="AB244" s="6"/>
      <c r="AC244" s="6"/>
      <c r="AD244" s="6"/>
      <c r="AE244" s="6"/>
      <c r="AF244" s="6"/>
      <c r="AG244" s="6"/>
      <c r="AH244" s="6"/>
      <c r="AI244" s="6"/>
      <c r="AJ244" s="6"/>
      <c r="AK244" s="6"/>
      <c r="AL244" s="6"/>
      <c r="AM244" s="8">
        <v>44.2</v>
      </c>
      <c r="AN244" s="6"/>
      <c r="AO244" s="6"/>
      <c r="AP244" s="8">
        <v>44.2</v>
      </c>
      <c r="AQ244" s="6"/>
      <c r="AR244" s="6"/>
      <c r="AS244" s="6"/>
      <c r="AT244" s="6"/>
      <c r="AU244" s="6"/>
      <c r="AV244" s="6"/>
      <c r="AW244" s="6"/>
      <c r="AX244" s="6"/>
      <c r="AY244" s="6"/>
      <c r="AZ244" s="6"/>
      <c r="BA244" s="6"/>
      <c r="BB244" s="6"/>
      <c r="BC244" s="6"/>
      <c r="BD244" s="6"/>
      <c r="BE244" s="6"/>
      <c r="BF244" s="6"/>
      <c r="BG244" s="6"/>
      <c r="BH244" s="6"/>
      <c r="BI244" s="6"/>
      <c r="BJ244" s="6"/>
      <c r="BK244" s="6"/>
      <c r="BL244" s="8">
        <v>50.2</v>
      </c>
      <c r="BM244" s="6"/>
      <c r="BN244" s="6"/>
      <c r="BO244" s="6"/>
      <c r="BP244" s="6"/>
      <c r="BQ244" s="6"/>
      <c r="BR244" s="6"/>
      <c r="BS244" s="6"/>
      <c r="BT244" s="6"/>
      <c r="BU244" s="6"/>
      <c r="BV244" s="6"/>
      <c r="BW244" s="6"/>
      <c r="BX244" s="6"/>
      <c r="BY244" s="6"/>
      <c r="BZ244" s="6"/>
      <c r="CA244" s="6"/>
      <c r="CB244" s="6"/>
      <c r="CC244" s="6"/>
      <c r="CD244" s="6"/>
      <c r="CE244" s="6"/>
      <c r="CF244" s="6"/>
      <c r="CG244" s="9">
        <v>50.2</v>
      </c>
    </row>
    <row r="245" spans="1:85" x14ac:dyDescent="0.3">
      <c r="A245" s="3" t="str">
        <f t="shared" si="5"/>
        <v>NON ADDOther Non-ADDRacial Equity Related ActivitiesTotal</v>
      </c>
      <c r="B245" s="6" t="s">
        <v>223</v>
      </c>
      <c r="C245" s="6" t="s">
        <v>294</v>
      </c>
      <c r="D245" s="6" t="s">
        <v>317</v>
      </c>
      <c r="E245" s="6" t="s">
        <v>24</v>
      </c>
      <c r="F245" s="6"/>
      <c r="G245" s="6"/>
      <c r="H245" s="6"/>
      <c r="I245" s="6"/>
      <c r="J245" s="6"/>
      <c r="K245" s="8">
        <v>28.62</v>
      </c>
      <c r="L245" s="8">
        <v>28.62</v>
      </c>
      <c r="M245" s="6"/>
      <c r="N245" s="6"/>
      <c r="O245" s="6"/>
      <c r="P245" s="6"/>
      <c r="Q245" s="6"/>
      <c r="R245" s="6"/>
      <c r="S245" s="6"/>
      <c r="T245" s="6"/>
      <c r="U245" s="6"/>
      <c r="V245" s="6"/>
      <c r="W245" s="6"/>
      <c r="X245" s="6"/>
      <c r="Y245" s="6"/>
      <c r="Z245" s="8">
        <v>40.950000000000003</v>
      </c>
      <c r="AA245" s="8">
        <v>40.950000000000003</v>
      </c>
      <c r="AB245" s="6"/>
      <c r="AC245" s="6"/>
      <c r="AD245" s="6"/>
      <c r="AE245" s="8">
        <v>2</v>
      </c>
      <c r="AF245" s="6"/>
      <c r="AG245" s="8">
        <v>27.7</v>
      </c>
      <c r="AH245" s="8">
        <v>29.7</v>
      </c>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8">
        <v>22</v>
      </c>
      <c r="BG245" s="8">
        <v>22</v>
      </c>
      <c r="BH245" s="6"/>
      <c r="BI245" s="6"/>
      <c r="BJ245" s="6"/>
      <c r="BK245" s="6"/>
      <c r="BL245" s="8">
        <v>121.27</v>
      </c>
      <c r="BM245" s="6"/>
      <c r="BN245" s="6"/>
      <c r="BO245" s="6"/>
      <c r="BP245" s="6"/>
      <c r="BQ245" s="6"/>
      <c r="BR245" s="6"/>
      <c r="BS245" s="6"/>
      <c r="BT245" s="6"/>
      <c r="BU245" s="6"/>
      <c r="BV245" s="6"/>
      <c r="BW245" s="6"/>
      <c r="BX245" s="6"/>
      <c r="BY245" s="6"/>
      <c r="BZ245" s="6"/>
      <c r="CA245" s="6"/>
      <c r="CB245" s="6"/>
      <c r="CC245" s="6"/>
      <c r="CD245" s="6"/>
      <c r="CE245" s="6"/>
      <c r="CF245" s="6"/>
      <c r="CG245" s="9">
        <v>121.27</v>
      </c>
    </row>
    <row r="246" spans="1:85" x14ac:dyDescent="0.3">
      <c r="A246" s="3" t="str">
        <f t="shared" si="5"/>
        <v>NON ADDOther Non-ADDResearch at Undergraduate Institutions (RUI)Total</v>
      </c>
      <c r="B246" s="6" t="s">
        <v>223</v>
      </c>
      <c r="C246" s="6" t="s">
        <v>294</v>
      </c>
      <c r="D246" s="6" t="s">
        <v>318</v>
      </c>
      <c r="E246" s="6" t="s">
        <v>24</v>
      </c>
      <c r="F246" s="6"/>
      <c r="G246" s="6"/>
      <c r="H246" s="6"/>
      <c r="I246" s="6"/>
      <c r="J246" s="6"/>
      <c r="K246" s="8">
        <v>13</v>
      </c>
      <c r="L246" s="8">
        <v>13</v>
      </c>
      <c r="M246" s="6"/>
      <c r="N246" s="6"/>
      <c r="O246" s="6"/>
      <c r="P246" s="6"/>
      <c r="Q246" s="6"/>
      <c r="R246" s="8">
        <v>4.5</v>
      </c>
      <c r="S246" s="8">
        <v>4.5</v>
      </c>
      <c r="T246" s="6"/>
      <c r="U246" s="6"/>
      <c r="V246" s="6"/>
      <c r="W246" s="6"/>
      <c r="X246" s="6"/>
      <c r="Y246" s="6"/>
      <c r="Z246" s="6"/>
      <c r="AA246" s="6"/>
      <c r="AB246" s="6"/>
      <c r="AC246" s="6"/>
      <c r="AD246" s="6"/>
      <c r="AE246" s="6"/>
      <c r="AF246" s="6"/>
      <c r="AG246" s="6"/>
      <c r="AH246" s="6"/>
      <c r="AI246" s="8">
        <v>1.5</v>
      </c>
      <c r="AJ246" s="8">
        <v>6.6</v>
      </c>
      <c r="AK246" s="8">
        <v>2</v>
      </c>
      <c r="AL246" s="8">
        <v>2</v>
      </c>
      <c r="AM246" s="6"/>
      <c r="AN246" s="8">
        <v>3.29</v>
      </c>
      <c r="AO246" s="6"/>
      <c r="AP246" s="8">
        <v>15.39</v>
      </c>
      <c r="AQ246" s="8">
        <v>0</v>
      </c>
      <c r="AR246" s="6"/>
      <c r="AS246" s="6"/>
      <c r="AT246" s="8">
        <v>0</v>
      </c>
      <c r="AU246" s="8">
        <v>0.6</v>
      </c>
      <c r="AV246" s="8">
        <v>0.6</v>
      </c>
      <c r="AW246" s="6"/>
      <c r="AX246" s="6"/>
      <c r="AY246" s="6"/>
      <c r="AZ246" s="6"/>
      <c r="BA246" s="6"/>
      <c r="BB246" s="6"/>
      <c r="BC246" s="6"/>
      <c r="BD246" s="6"/>
      <c r="BE246" s="6"/>
      <c r="BF246" s="6"/>
      <c r="BG246" s="6"/>
      <c r="BH246" s="6"/>
      <c r="BI246" s="6"/>
      <c r="BJ246" s="6"/>
      <c r="BK246" s="6"/>
      <c r="BL246" s="8">
        <v>33.49</v>
      </c>
      <c r="BM246" s="6"/>
      <c r="BN246" s="6"/>
      <c r="BO246" s="6"/>
      <c r="BP246" s="6"/>
      <c r="BQ246" s="6"/>
      <c r="BR246" s="6"/>
      <c r="BS246" s="6"/>
      <c r="BT246" s="6"/>
      <c r="BU246" s="6"/>
      <c r="BV246" s="6"/>
      <c r="BW246" s="6"/>
      <c r="BX246" s="6"/>
      <c r="BY246" s="6"/>
      <c r="BZ246" s="6"/>
      <c r="CA246" s="6"/>
      <c r="CB246" s="6"/>
      <c r="CC246" s="6"/>
      <c r="CD246" s="6"/>
      <c r="CE246" s="6"/>
      <c r="CF246" s="6"/>
      <c r="CG246" s="9">
        <v>33.49</v>
      </c>
    </row>
    <row r="247" spans="1:85" x14ac:dyDescent="0.3">
      <c r="A247" s="3" t="str">
        <f t="shared" si="5"/>
        <v>NON ADDOther Non-ADDResearch in Disabilities Education (RDE)Total</v>
      </c>
      <c r="B247" s="6" t="s">
        <v>223</v>
      </c>
      <c r="C247" s="6" t="s">
        <v>294</v>
      </c>
      <c r="D247" s="6" t="s">
        <v>319</v>
      </c>
      <c r="E247" s="6" t="s">
        <v>24</v>
      </c>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8">
        <v>9.5</v>
      </c>
      <c r="BO247" s="6"/>
      <c r="BP247" s="6"/>
      <c r="BQ247" s="6"/>
      <c r="BR247" s="8">
        <v>9.5</v>
      </c>
      <c r="BS247" s="8">
        <v>9.5</v>
      </c>
      <c r="BT247" s="6"/>
      <c r="BU247" s="6"/>
      <c r="BV247" s="6"/>
      <c r="BW247" s="6"/>
      <c r="BX247" s="6"/>
      <c r="BY247" s="6"/>
      <c r="BZ247" s="6"/>
      <c r="CA247" s="6"/>
      <c r="CB247" s="6"/>
      <c r="CC247" s="6"/>
      <c r="CD247" s="6"/>
      <c r="CE247" s="6"/>
      <c r="CF247" s="6"/>
      <c r="CG247" s="9">
        <v>9.5</v>
      </c>
    </row>
    <row r="248" spans="1:85" x14ac:dyDescent="0.3">
      <c r="A248" s="3" t="str">
        <f t="shared" si="5"/>
        <v>NON ADDOther Non-ADDResearch on Gender in Science &amp; Engineering (GSE)Total</v>
      </c>
      <c r="B248" s="6" t="s">
        <v>223</v>
      </c>
      <c r="C248" s="6" t="s">
        <v>294</v>
      </c>
      <c r="D248" s="6" t="s">
        <v>320</v>
      </c>
      <c r="E248" s="6" t="s">
        <v>24</v>
      </c>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8">
        <v>13.5</v>
      </c>
      <c r="BO248" s="6"/>
      <c r="BP248" s="6"/>
      <c r="BQ248" s="6"/>
      <c r="BR248" s="8">
        <v>13.5</v>
      </c>
      <c r="BS248" s="8">
        <v>13.5</v>
      </c>
      <c r="BT248" s="6"/>
      <c r="BU248" s="6"/>
      <c r="BV248" s="6"/>
      <c r="BW248" s="6"/>
      <c r="BX248" s="6"/>
      <c r="BY248" s="6"/>
      <c r="BZ248" s="6"/>
      <c r="CA248" s="6"/>
      <c r="CB248" s="6"/>
      <c r="CC248" s="6"/>
      <c r="CD248" s="6"/>
      <c r="CE248" s="6"/>
      <c r="CF248" s="6"/>
      <c r="CG248" s="9">
        <v>13.5</v>
      </c>
    </row>
    <row r="249" spans="1:85" x14ac:dyDescent="0.3">
      <c r="A249" s="3" t="str">
        <f t="shared" si="5"/>
        <v>NON ADDOther Non-ADDSBE Build and BroadenTotal</v>
      </c>
      <c r="B249" s="6" t="s">
        <v>223</v>
      </c>
      <c r="C249" s="6" t="s">
        <v>294</v>
      </c>
      <c r="D249" s="6" t="s">
        <v>321</v>
      </c>
      <c r="E249" s="6" t="s">
        <v>24</v>
      </c>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8">
        <v>8</v>
      </c>
      <c r="AV249" s="8">
        <v>8</v>
      </c>
      <c r="AW249" s="6"/>
      <c r="AX249" s="6"/>
      <c r="AY249" s="6"/>
      <c r="AZ249" s="6"/>
      <c r="BA249" s="6"/>
      <c r="BB249" s="6"/>
      <c r="BC249" s="6"/>
      <c r="BD249" s="6"/>
      <c r="BE249" s="6"/>
      <c r="BF249" s="6"/>
      <c r="BG249" s="6"/>
      <c r="BH249" s="6"/>
      <c r="BI249" s="6"/>
      <c r="BJ249" s="6"/>
      <c r="BK249" s="6"/>
      <c r="BL249" s="8">
        <v>8</v>
      </c>
      <c r="BM249" s="6"/>
      <c r="BN249" s="6"/>
      <c r="BO249" s="6"/>
      <c r="BP249" s="6"/>
      <c r="BQ249" s="6"/>
      <c r="BR249" s="6"/>
      <c r="BS249" s="6"/>
      <c r="BT249" s="6"/>
      <c r="BU249" s="6"/>
      <c r="BV249" s="6"/>
      <c r="BW249" s="6"/>
      <c r="BX249" s="6"/>
      <c r="BY249" s="6"/>
      <c r="BZ249" s="6"/>
      <c r="CA249" s="6"/>
      <c r="CB249" s="6"/>
      <c r="CC249" s="6"/>
      <c r="CD249" s="6"/>
      <c r="CE249" s="6"/>
      <c r="CF249" s="6"/>
      <c r="CG249" s="9">
        <v>8</v>
      </c>
    </row>
    <row r="250" spans="1:85" x14ac:dyDescent="0.3">
      <c r="A250" s="3" t="str">
        <f t="shared" si="5"/>
        <v>NON ADDOther Non-ADDSBE Science of Broadening ParticipationTotal</v>
      </c>
      <c r="B250" s="6" t="s">
        <v>223</v>
      </c>
      <c r="C250" s="6" t="s">
        <v>294</v>
      </c>
      <c r="D250" s="6" t="s">
        <v>322</v>
      </c>
      <c r="E250" s="6" t="s">
        <v>24</v>
      </c>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8">
        <v>1.5</v>
      </c>
      <c r="AV250" s="8">
        <v>1.5</v>
      </c>
      <c r="AW250" s="6"/>
      <c r="AX250" s="6"/>
      <c r="AY250" s="6"/>
      <c r="AZ250" s="6"/>
      <c r="BA250" s="6"/>
      <c r="BB250" s="6"/>
      <c r="BC250" s="6"/>
      <c r="BD250" s="6"/>
      <c r="BE250" s="6"/>
      <c r="BF250" s="6"/>
      <c r="BG250" s="6"/>
      <c r="BH250" s="6"/>
      <c r="BI250" s="6"/>
      <c r="BJ250" s="6"/>
      <c r="BK250" s="6"/>
      <c r="BL250" s="8">
        <v>1.5</v>
      </c>
      <c r="BM250" s="6"/>
      <c r="BN250" s="6"/>
      <c r="BO250" s="6"/>
      <c r="BP250" s="6"/>
      <c r="BQ250" s="6"/>
      <c r="BR250" s="6"/>
      <c r="BS250" s="6"/>
      <c r="BT250" s="6"/>
      <c r="BU250" s="6"/>
      <c r="BV250" s="6"/>
      <c r="BW250" s="6"/>
      <c r="BX250" s="6"/>
      <c r="BY250" s="6"/>
      <c r="BZ250" s="6"/>
      <c r="CA250" s="6"/>
      <c r="CB250" s="6"/>
      <c r="CC250" s="6"/>
      <c r="CD250" s="6"/>
      <c r="CE250" s="6"/>
      <c r="CF250" s="6"/>
      <c r="CG250" s="9">
        <v>1.5</v>
      </c>
    </row>
    <row r="251" spans="1:85" x14ac:dyDescent="0.3">
      <c r="A251" s="3" t="str">
        <f t="shared" si="5"/>
        <v>NON ADDOther Non-ADDSignificant Opportunities in Atmospheric Rsch &amp; Sci (SOARS)Total</v>
      </c>
      <c r="B251" s="6" t="s">
        <v>223</v>
      </c>
      <c r="C251" s="6" t="s">
        <v>294</v>
      </c>
      <c r="D251" s="6" t="s">
        <v>323</v>
      </c>
      <c r="E251" s="6" t="s">
        <v>24</v>
      </c>
      <c r="F251" s="6"/>
      <c r="G251" s="6"/>
      <c r="H251" s="6"/>
      <c r="I251" s="6"/>
      <c r="J251" s="6"/>
      <c r="K251" s="6"/>
      <c r="L251" s="6"/>
      <c r="M251" s="6"/>
      <c r="N251" s="6"/>
      <c r="O251" s="6"/>
      <c r="P251" s="6"/>
      <c r="Q251" s="6"/>
      <c r="R251" s="6"/>
      <c r="S251" s="6"/>
      <c r="T251" s="6"/>
      <c r="U251" s="6"/>
      <c r="V251" s="6"/>
      <c r="W251" s="6"/>
      <c r="X251" s="6"/>
      <c r="Y251" s="6"/>
      <c r="Z251" s="6"/>
      <c r="AA251" s="6"/>
      <c r="AB251" s="8">
        <v>0.71</v>
      </c>
      <c r="AC251" s="6"/>
      <c r="AD251" s="6"/>
      <c r="AE251" s="6"/>
      <c r="AF251" s="6"/>
      <c r="AG251" s="6"/>
      <c r="AH251" s="8">
        <v>0.71</v>
      </c>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8">
        <v>0.71</v>
      </c>
      <c r="BM251" s="6"/>
      <c r="BN251" s="6"/>
      <c r="BO251" s="6"/>
      <c r="BP251" s="6"/>
      <c r="BQ251" s="6"/>
      <c r="BR251" s="6"/>
      <c r="BS251" s="6"/>
      <c r="BT251" s="6"/>
      <c r="BU251" s="6"/>
      <c r="BV251" s="6"/>
      <c r="BW251" s="6"/>
      <c r="BX251" s="6"/>
      <c r="BY251" s="6"/>
      <c r="BZ251" s="6"/>
      <c r="CA251" s="6"/>
      <c r="CB251" s="6"/>
      <c r="CC251" s="6"/>
      <c r="CD251" s="6"/>
      <c r="CE251" s="6"/>
      <c r="CF251" s="6"/>
      <c r="CG251" s="9">
        <v>0.71</v>
      </c>
    </row>
    <row r="252" spans="1:85" x14ac:dyDescent="0.3">
      <c r="A252" s="3" t="str">
        <f t="shared" si="5"/>
        <v>NON ADDOther Non-ADDSpectrum Innovation InitiativeTotal</v>
      </c>
      <c r="B252" s="6" t="s">
        <v>223</v>
      </c>
      <c r="C252" s="6" t="s">
        <v>294</v>
      </c>
      <c r="D252" s="6" t="s">
        <v>324</v>
      </c>
      <c r="E252" s="6" t="s">
        <v>24</v>
      </c>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8">
        <v>17</v>
      </c>
      <c r="AN252" s="6"/>
      <c r="AO252" s="6"/>
      <c r="AP252" s="8">
        <v>17</v>
      </c>
      <c r="AQ252" s="6"/>
      <c r="AR252" s="6"/>
      <c r="AS252" s="6"/>
      <c r="AT252" s="6"/>
      <c r="AU252" s="6"/>
      <c r="AV252" s="6"/>
      <c r="AW252" s="6"/>
      <c r="AX252" s="6"/>
      <c r="AY252" s="6"/>
      <c r="AZ252" s="6"/>
      <c r="BA252" s="6"/>
      <c r="BB252" s="6"/>
      <c r="BC252" s="6"/>
      <c r="BD252" s="6"/>
      <c r="BE252" s="6"/>
      <c r="BF252" s="6"/>
      <c r="BG252" s="6"/>
      <c r="BH252" s="6"/>
      <c r="BI252" s="6"/>
      <c r="BJ252" s="6"/>
      <c r="BK252" s="6"/>
      <c r="BL252" s="8">
        <v>17</v>
      </c>
      <c r="BM252" s="6"/>
      <c r="BN252" s="6"/>
      <c r="BO252" s="6"/>
      <c r="BP252" s="6"/>
      <c r="BQ252" s="6"/>
      <c r="BR252" s="6"/>
      <c r="BS252" s="6"/>
      <c r="BT252" s="6"/>
      <c r="BU252" s="6"/>
      <c r="BV252" s="6"/>
      <c r="BW252" s="6"/>
      <c r="BX252" s="6"/>
      <c r="BY252" s="6"/>
      <c r="BZ252" s="6"/>
      <c r="CA252" s="6"/>
      <c r="CB252" s="6"/>
      <c r="CC252" s="6"/>
      <c r="CD252" s="6"/>
      <c r="CE252" s="6"/>
      <c r="CF252" s="6"/>
      <c r="CG252" s="9">
        <v>17</v>
      </c>
    </row>
  </sheetData>
  <mergeCells count="13">
    <mergeCell ref="F2:J2"/>
    <mergeCell ref="F4:BL4"/>
    <mergeCell ref="BM4:BS4"/>
    <mergeCell ref="BT4:BV4"/>
    <mergeCell ref="BW4:BZ4"/>
    <mergeCell ref="CD4:CF4"/>
    <mergeCell ref="BL5:BL6"/>
    <mergeCell ref="BS5:BS6"/>
    <mergeCell ref="BV5:BV6"/>
    <mergeCell ref="BZ5:BZ6"/>
    <mergeCell ref="CC5:CC6"/>
    <mergeCell ref="CF5:CF6"/>
    <mergeCell ref="CA4:CC4"/>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04C1E-C161-4679-BC3C-C797524CE560}">
  <sheetPr>
    <tabColor theme="0" tint="-0.249977111117893"/>
  </sheetPr>
  <dimension ref="A1:CG251"/>
  <sheetViews>
    <sheetView zoomScale="80" zoomScaleNormal="80" workbookViewId="0">
      <selection activeCell="D124" sqref="D124"/>
    </sheetView>
  </sheetViews>
  <sheetFormatPr defaultColWidth="9.33203125" defaultRowHeight="14.4" x14ac:dyDescent="0.3"/>
  <cols>
    <col min="1" max="1" width="35.44140625" style="3" customWidth="1"/>
    <col min="2" max="2" width="8.33203125" style="3" customWidth="1"/>
    <col min="3" max="3" width="14.6640625" style="3" customWidth="1"/>
    <col min="4" max="4" width="35.6640625" style="3" customWidth="1"/>
    <col min="5" max="5" width="32.33203125" style="3" customWidth="1"/>
    <col min="6" max="9" width="11.5546875" style="3" customWidth="1"/>
    <col min="10" max="10" width="14" style="3" customWidth="1"/>
    <col min="11" max="11" width="11.5546875" style="3" customWidth="1"/>
    <col min="12" max="12" width="13.6640625" style="3" customWidth="1"/>
    <col min="13" max="18" width="11.5546875" style="3" customWidth="1"/>
    <col min="19" max="19" width="13.6640625" style="3" customWidth="1"/>
    <col min="20" max="26" width="11.5546875" style="3" customWidth="1"/>
    <col min="27" max="27" width="13.6640625" style="3" customWidth="1"/>
    <col min="28" max="33" width="11.5546875" style="3" customWidth="1"/>
    <col min="34" max="34" width="13.6640625" style="3" customWidth="1"/>
    <col min="35" max="41" width="11.5546875" style="3" customWidth="1"/>
    <col min="42" max="42" width="13.6640625" style="3" customWidth="1"/>
    <col min="43" max="47" width="11.5546875" style="3" customWidth="1"/>
    <col min="48" max="48" width="13.6640625" style="3" customWidth="1"/>
    <col min="49" max="53" width="11.5546875" style="3" customWidth="1"/>
    <col min="54" max="54" width="13.6640625" style="3" customWidth="1"/>
    <col min="55" max="55" width="11.5546875" style="3" customWidth="1"/>
    <col min="56" max="56" width="13.6640625" style="3" customWidth="1"/>
    <col min="57" max="58" width="11.5546875" style="3" customWidth="1"/>
    <col min="59" max="59" width="13.6640625" style="3" customWidth="1"/>
    <col min="60" max="60" width="11.5546875" style="3" customWidth="1"/>
    <col min="61" max="61" width="13.6640625" style="3" customWidth="1"/>
    <col min="62" max="62" width="11.5546875" style="3" customWidth="1"/>
    <col min="63" max="63" width="13.6640625" style="3" customWidth="1"/>
    <col min="64" max="64" width="11" style="3" customWidth="1"/>
    <col min="65" max="69" width="11.5546875" style="3" customWidth="1"/>
    <col min="70" max="70" width="13.6640625" style="3" customWidth="1"/>
    <col min="71" max="71" width="11" style="3" customWidth="1"/>
    <col min="72" max="72" width="11.5546875" style="3" customWidth="1"/>
    <col min="73" max="73" width="13.6640625" style="3" customWidth="1"/>
    <col min="74" max="74" width="11" style="3" customWidth="1"/>
    <col min="75" max="76" width="11.5546875" style="3" customWidth="1"/>
    <col min="77" max="77" width="13.6640625" style="3" customWidth="1"/>
    <col min="78" max="78" width="11" style="3" customWidth="1"/>
    <col min="79" max="79" width="11.5546875" style="3" customWidth="1"/>
    <col min="80" max="80" width="13.6640625" style="3" customWidth="1"/>
    <col min="81" max="81" width="11" style="3" customWidth="1"/>
    <col min="82" max="82" width="11.5546875" style="3" customWidth="1"/>
    <col min="83" max="83" width="13.6640625" style="3" customWidth="1"/>
    <col min="84" max="84" width="11" style="3" customWidth="1"/>
    <col min="85" max="85" width="13.6640625" style="3" customWidth="1"/>
    <col min="86" max="86" width="0" style="3" hidden="1" customWidth="1"/>
    <col min="87" max="16384" width="9.33203125" style="3"/>
  </cols>
  <sheetData>
    <row r="1" spans="1:85" ht="7.35" customHeight="1" x14ac:dyDescent="0.3"/>
    <row r="2" spans="1:85" ht="15" customHeight="1" x14ac:dyDescent="0.3">
      <c r="F2" s="1016" t="s">
        <v>515</v>
      </c>
      <c r="G2" s="1017"/>
      <c r="H2" s="1017"/>
      <c r="I2" s="1017"/>
      <c r="J2" s="1017"/>
    </row>
    <row r="3" spans="1:85" ht="15" customHeight="1" x14ac:dyDescent="0.3">
      <c r="F3" s="4" t="str">
        <f>CONCATENATE(F5,F6)</f>
        <v>BIODBI</v>
      </c>
      <c r="G3" s="4" t="str">
        <f t="shared" ref="G3:BR3" si="0">CONCATENATE(G5,G6)</f>
        <v>BIODEB</v>
      </c>
      <c r="H3" s="4" t="str">
        <f t="shared" si="0"/>
        <v>BIOEF</v>
      </c>
      <c r="I3" s="4" t="str">
        <f t="shared" si="0"/>
        <v>BIOIOS</v>
      </c>
      <c r="J3" s="4" t="str">
        <f t="shared" si="0"/>
        <v>BIOMCB</v>
      </c>
      <c r="K3" s="4" t="str">
        <f t="shared" si="0"/>
        <v>BIOUNDIST</v>
      </c>
      <c r="L3" s="4" t="str">
        <f t="shared" si="0"/>
        <v>BIOTotal</v>
      </c>
      <c r="M3" s="4" t="str">
        <f t="shared" si="0"/>
        <v>CISECCF</v>
      </c>
      <c r="N3" s="4" t="str">
        <f t="shared" si="0"/>
        <v>CISECNS</v>
      </c>
      <c r="O3" s="4" t="str">
        <f t="shared" si="0"/>
        <v>CISEIIS</v>
      </c>
      <c r="P3" s="4" t="str">
        <f t="shared" si="0"/>
        <v>CISEITR</v>
      </c>
      <c r="Q3" s="4" t="str">
        <f t="shared" si="0"/>
        <v>CISEOAC</v>
      </c>
      <c r="R3" s="4" t="str">
        <f t="shared" si="0"/>
        <v>CISEUNDIST</v>
      </c>
      <c r="S3" s="4" t="str">
        <f t="shared" si="0"/>
        <v>CISETotal</v>
      </c>
      <c r="T3" s="4" t="str">
        <f t="shared" si="0"/>
        <v>ENGCBET</v>
      </c>
      <c r="U3" s="4" t="str">
        <f t="shared" si="0"/>
        <v>ENGCMMI</v>
      </c>
      <c r="V3" s="4" t="str">
        <f t="shared" si="0"/>
        <v>ENGECCS</v>
      </c>
      <c r="W3" s="4" t="str">
        <f t="shared" si="0"/>
        <v>ENGEEC</v>
      </c>
      <c r="X3" s="4" t="str">
        <f t="shared" si="0"/>
        <v>ENGEFMA</v>
      </c>
      <c r="Y3" s="4" t="str">
        <f t="shared" si="0"/>
        <v>ENGIIP</v>
      </c>
      <c r="Z3" s="4" t="str">
        <f t="shared" si="0"/>
        <v>ENGUNDIST</v>
      </c>
      <c r="AA3" s="4" t="str">
        <f t="shared" si="0"/>
        <v>ENGTotal</v>
      </c>
      <c r="AB3" s="4" t="str">
        <f t="shared" si="0"/>
        <v>GEOAGS</v>
      </c>
      <c r="AC3" s="4" t="str">
        <f t="shared" si="0"/>
        <v>GEOEAR</v>
      </c>
      <c r="AD3" s="4" t="str">
        <f t="shared" si="0"/>
        <v>GEOOCE</v>
      </c>
      <c r="AE3" s="4" t="str">
        <f t="shared" si="0"/>
        <v>GEO/OPPPLR</v>
      </c>
      <c r="AF3" s="4" t="str">
        <f t="shared" si="0"/>
        <v>GEORISE</v>
      </c>
      <c r="AG3" s="4" t="str">
        <f t="shared" si="0"/>
        <v>GEOUNDIST</v>
      </c>
      <c r="AH3" s="4" t="str">
        <f t="shared" si="0"/>
        <v>GEOTotal</v>
      </c>
      <c r="AI3" s="4" t="str">
        <f t="shared" si="0"/>
        <v>MPSAST</v>
      </c>
      <c r="AJ3" s="4" t="str">
        <f t="shared" si="0"/>
        <v>MPSCHE</v>
      </c>
      <c r="AK3" s="4" t="str">
        <f t="shared" si="0"/>
        <v>MPSDMR</v>
      </c>
      <c r="AL3" s="4" t="str">
        <f t="shared" si="0"/>
        <v>MPSDMS</v>
      </c>
      <c r="AM3" s="4" t="str">
        <f t="shared" si="0"/>
        <v>MPSOMA</v>
      </c>
      <c r="AN3" s="4" t="str">
        <f t="shared" si="0"/>
        <v>MPSPHY</v>
      </c>
      <c r="AO3" s="4" t="str">
        <f t="shared" si="0"/>
        <v>MPSUNDIST</v>
      </c>
      <c r="AP3" s="4" t="str">
        <f t="shared" si="0"/>
        <v>MPSTotal</v>
      </c>
      <c r="AQ3" s="4" t="str">
        <f t="shared" si="0"/>
        <v>SBEBCS</v>
      </c>
      <c r="AR3" s="4" t="str">
        <f t="shared" si="0"/>
        <v>SBENCSES</v>
      </c>
      <c r="AS3" s="4" t="str">
        <f t="shared" si="0"/>
        <v>SBEOMA</v>
      </c>
      <c r="AT3" s="4" t="str">
        <f t="shared" si="0"/>
        <v>SBESES</v>
      </c>
      <c r="AU3" s="4" t="str">
        <f t="shared" si="0"/>
        <v>SBEUNDIST</v>
      </c>
      <c r="AV3" s="4" t="str">
        <f t="shared" si="0"/>
        <v>SBETotal</v>
      </c>
      <c r="AW3" s="4" t="str">
        <f t="shared" si="0"/>
        <v>TIPITE</v>
      </c>
      <c r="AX3" s="4" t="str">
        <f t="shared" si="0"/>
        <v>TIPSPO</v>
      </c>
      <c r="AY3" s="4" t="str">
        <f t="shared" si="0"/>
        <v>TIPTF</v>
      </c>
      <c r="AZ3" s="4" t="str">
        <f t="shared" si="0"/>
        <v>TIPTI</v>
      </c>
      <c r="BA3" s="4" t="str">
        <f t="shared" si="0"/>
        <v>TIPUNDIST</v>
      </c>
      <c r="BB3" s="4" t="str">
        <f t="shared" si="0"/>
        <v>TIPTotal</v>
      </c>
      <c r="BC3" s="4" t="str">
        <f t="shared" si="0"/>
        <v>OISEOISE</v>
      </c>
      <c r="BD3" s="4" t="str">
        <f t="shared" si="0"/>
        <v>OISETotal</v>
      </c>
      <c r="BE3" s="4" t="str">
        <f t="shared" si="0"/>
        <v>OIAEPSCoR</v>
      </c>
      <c r="BF3" s="4" t="str">
        <f t="shared" si="0"/>
        <v>OIAIA</v>
      </c>
      <c r="BG3" s="4" t="str">
        <f t="shared" si="0"/>
        <v>OIATotal</v>
      </c>
      <c r="BH3" s="4" t="str">
        <f t="shared" si="0"/>
        <v>USARCUSARC</v>
      </c>
      <c r="BI3" s="4" t="str">
        <f t="shared" si="0"/>
        <v>USARCTotal</v>
      </c>
      <c r="BJ3" s="4" t="str">
        <f t="shared" si="0"/>
        <v>USALSUSALS</v>
      </c>
      <c r="BK3" s="4" t="str">
        <f t="shared" si="0"/>
        <v>USALSTotal</v>
      </c>
      <c r="BL3" s="4" t="str">
        <f t="shared" si="0"/>
        <v>Total</v>
      </c>
      <c r="BM3" s="4" t="str">
        <f t="shared" si="0"/>
        <v>EDUDGE</v>
      </c>
      <c r="BN3" s="4" t="str">
        <f t="shared" si="0"/>
        <v>EDUDRL</v>
      </c>
      <c r="BO3" s="4" t="str">
        <f t="shared" si="0"/>
        <v>EDUDUE</v>
      </c>
      <c r="BP3" s="4" t="str">
        <f t="shared" si="0"/>
        <v>EDUEES</v>
      </c>
      <c r="BQ3" s="4" t="str">
        <f t="shared" si="0"/>
        <v>EDUUNDIST</v>
      </c>
      <c r="BR3" s="4" t="str">
        <f t="shared" si="0"/>
        <v>EDUTotal</v>
      </c>
      <c r="BS3" s="4" t="str">
        <f t="shared" ref="BS3:CG3" si="1">CONCATENATE(BS5,BS6)</f>
        <v>Total</v>
      </c>
      <c r="BT3" s="4" t="str">
        <f t="shared" si="1"/>
        <v>MREFCMREFC</v>
      </c>
      <c r="BU3" s="4" t="str">
        <f t="shared" si="1"/>
        <v>MREFCTotal</v>
      </c>
      <c r="BV3" s="4" t="str">
        <f t="shared" si="1"/>
        <v>Total</v>
      </c>
      <c r="BW3" s="4" t="str">
        <f t="shared" si="1"/>
        <v>AOAMGAC</v>
      </c>
      <c r="BX3" s="4" t="str">
        <f t="shared" si="1"/>
        <v>AOAMROD</v>
      </c>
      <c r="BY3" s="4" t="str">
        <f t="shared" si="1"/>
        <v>AOAMTotal</v>
      </c>
      <c r="BZ3" s="4" t="str">
        <f t="shared" si="1"/>
        <v>Total</v>
      </c>
      <c r="CA3" s="4" t="str">
        <f t="shared" si="1"/>
        <v>OIGGAC</v>
      </c>
      <c r="CB3" s="4" t="str">
        <f t="shared" si="1"/>
        <v>OIGTotal</v>
      </c>
      <c r="CC3" s="4" t="str">
        <f t="shared" si="1"/>
        <v>Total</v>
      </c>
      <c r="CD3" s="4" t="str">
        <f t="shared" si="1"/>
        <v>NSBNSB</v>
      </c>
      <c r="CE3" s="4" t="str">
        <f t="shared" si="1"/>
        <v>NSBTotal</v>
      </c>
      <c r="CF3" s="4" t="str">
        <f t="shared" si="1"/>
        <v>Total</v>
      </c>
      <c r="CG3" s="4" t="str">
        <f t="shared" si="1"/>
        <v>TotalTotal</v>
      </c>
    </row>
    <row r="4" spans="1:85" ht="15" customHeight="1" x14ac:dyDescent="0.3">
      <c r="A4" s="5" t="s">
        <v>28</v>
      </c>
      <c r="B4" s="5" t="s">
        <v>28</v>
      </c>
      <c r="C4" s="5" t="s">
        <v>28</v>
      </c>
      <c r="D4" s="5" t="s">
        <v>28</v>
      </c>
      <c r="E4" s="5" t="s">
        <v>28</v>
      </c>
      <c r="F4" s="1012" t="s">
        <v>29</v>
      </c>
      <c r="G4" s="1013"/>
      <c r="H4" s="1013"/>
      <c r="I4" s="1013"/>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c r="AH4" s="1013"/>
      <c r="AI4" s="1013"/>
      <c r="AJ4" s="1013"/>
      <c r="AK4" s="1013"/>
      <c r="AL4" s="1013"/>
      <c r="AM4" s="1013"/>
      <c r="AN4" s="1013"/>
      <c r="AO4" s="1013"/>
      <c r="AP4" s="1013"/>
      <c r="AQ4" s="1013"/>
      <c r="AR4" s="1013"/>
      <c r="AS4" s="1013"/>
      <c r="AT4" s="1013"/>
      <c r="AU4" s="1013"/>
      <c r="AV4" s="1013"/>
      <c r="AW4" s="1013"/>
      <c r="AX4" s="1013"/>
      <c r="AY4" s="1013"/>
      <c r="AZ4" s="1013"/>
      <c r="BA4" s="1013"/>
      <c r="BB4" s="1013"/>
      <c r="BC4" s="1013"/>
      <c r="BD4" s="1013"/>
      <c r="BE4" s="1013"/>
      <c r="BF4" s="1013"/>
      <c r="BG4" s="1013"/>
      <c r="BH4" s="1013"/>
      <c r="BI4" s="1013"/>
      <c r="BJ4" s="1013"/>
      <c r="BK4" s="1013"/>
      <c r="BL4" s="1014"/>
      <c r="BM4" s="1012" t="s">
        <v>30</v>
      </c>
      <c r="BN4" s="1013"/>
      <c r="BO4" s="1013"/>
      <c r="BP4" s="1013"/>
      <c r="BQ4" s="1013"/>
      <c r="BR4" s="1013"/>
      <c r="BS4" s="1014"/>
      <c r="BT4" s="1012" t="s">
        <v>31</v>
      </c>
      <c r="BU4" s="1013"/>
      <c r="BV4" s="1014"/>
      <c r="BW4" s="1012" t="s">
        <v>32</v>
      </c>
      <c r="BX4" s="1013"/>
      <c r="BY4" s="1013"/>
      <c r="BZ4" s="1014"/>
      <c r="CA4" s="1012" t="s">
        <v>33</v>
      </c>
      <c r="CB4" s="1013"/>
      <c r="CC4" s="1014"/>
      <c r="CD4" s="1012" t="s">
        <v>34</v>
      </c>
      <c r="CE4" s="1013"/>
      <c r="CF4" s="1014"/>
      <c r="CG4" s="5" t="s">
        <v>24</v>
      </c>
    </row>
    <row r="5" spans="1:85" ht="15" customHeight="1" x14ac:dyDescent="0.3">
      <c r="A5" s="5" t="s">
        <v>28</v>
      </c>
      <c r="B5" s="5" t="s">
        <v>28</v>
      </c>
      <c r="C5" s="5" t="s">
        <v>28</v>
      </c>
      <c r="D5" s="5" t="s">
        <v>28</v>
      </c>
      <c r="E5" s="5" t="s">
        <v>28</v>
      </c>
      <c r="F5" s="5" t="s">
        <v>0</v>
      </c>
      <c r="G5" s="5" t="s">
        <v>0</v>
      </c>
      <c r="H5" s="5" t="s">
        <v>0</v>
      </c>
      <c r="I5" s="5" t="s">
        <v>0</v>
      </c>
      <c r="J5" s="5" t="s">
        <v>0</v>
      </c>
      <c r="K5" s="5" t="s">
        <v>0</v>
      </c>
      <c r="L5" s="5" t="s">
        <v>0</v>
      </c>
      <c r="M5" s="5" t="s">
        <v>1</v>
      </c>
      <c r="N5" s="5" t="s">
        <v>1</v>
      </c>
      <c r="O5" s="5" t="s">
        <v>1</v>
      </c>
      <c r="P5" s="5" t="s">
        <v>1</v>
      </c>
      <c r="Q5" s="5" t="s">
        <v>1</v>
      </c>
      <c r="R5" s="5" t="s">
        <v>1</v>
      </c>
      <c r="S5" s="5" t="s">
        <v>1</v>
      </c>
      <c r="T5" s="5" t="s">
        <v>2</v>
      </c>
      <c r="U5" s="5" t="s">
        <v>2</v>
      </c>
      <c r="V5" s="5" t="s">
        <v>2</v>
      </c>
      <c r="W5" s="5" t="s">
        <v>2</v>
      </c>
      <c r="X5" s="5" t="s">
        <v>2</v>
      </c>
      <c r="Y5" s="5" t="s">
        <v>2</v>
      </c>
      <c r="Z5" s="5" t="s">
        <v>2</v>
      </c>
      <c r="AA5" s="5" t="s">
        <v>2</v>
      </c>
      <c r="AB5" s="5" t="s">
        <v>3</v>
      </c>
      <c r="AC5" s="5" t="s">
        <v>3</v>
      </c>
      <c r="AD5" s="5" t="s">
        <v>3</v>
      </c>
      <c r="AE5" s="5" t="s">
        <v>35</v>
      </c>
      <c r="AF5" s="5" t="s">
        <v>3</v>
      </c>
      <c r="AG5" s="5" t="s">
        <v>3</v>
      </c>
      <c r="AH5" s="5" t="s">
        <v>3</v>
      </c>
      <c r="AI5" s="5" t="s">
        <v>7</v>
      </c>
      <c r="AJ5" s="5" t="s">
        <v>7</v>
      </c>
      <c r="AK5" s="5" t="s">
        <v>7</v>
      </c>
      <c r="AL5" s="5" t="s">
        <v>7</v>
      </c>
      <c r="AM5" s="5" t="s">
        <v>7</v>
      </c>
      <c r="AN5" s="5" t="s">
        <v>7</v>
      </c>
      <c r="AO5" s="5" t="s">
        <v>7</v>
      </c>
      <c r="AP5" s="5" t="s">
        <v>7</v>
      </c>
      <c r="AQ5" s="5" t="s">
        <v>8</v>
      </c>
      <c r="AR5" s="5" t="s">
        <v>8</v>
      </c>
      <c r="AS5" s="5" t="s">
        <v>8</v>
      </c>
      <c r="AT5" s="5" t="s">
        <v>8</v>
      </c>
      <c r="AU5" s="5" t="s">
        <v>8</v>
      </c>
      <c r="AV5" s="5" t="s">
        <v>8</v>
      </c>
      <c r="AW5" s="5" t="s">
        <v>9</v>
      </c>
      <c r="AX5" s="5" t="s">
        <v>9</v>
      </c>
      <c r="AY5" s="5" t="s">
        <v>9</v>
      </c>
      <c r="AZ5" s="5" t="s">
        <v>9</v>
      </c>
      <c r="BA5" s="5" t="s">
        <v>9</v>
      </c>
      <c r="BB5" s="5" t="s">
        <v>9</v>
      </c>
      <c r="BC5" s="5" t="s">
        <v>12</v>
      </c>
      <c r="BD5" s="5" t="s">
        <v>12</v>
      </c>
      <c r="BE5" s="5" t="s">
        <v>36</v>
      </c>
      <c r="BF5" s="5" t="s">
        <v>36</v>
      </c>
      <c r="BG5" s="5" t="s">
        <v>36</v>
      </c>
      <c r="BH5" s="5" t="s">
        <v>37</v>
      </c>
      <c r="BI5" s="5" t="s">
        <v>37</v>
      </c>
      <c r="BJ5" s="5" t="s">
        <v>38</v>
      </c>
      <c r="BK5" s="5" t="s">
        <v>38</v>
      </c>
      <c r="BL5" s="1012" t="s">
        <v>24</v>
      </c>
      <c r="BM5" s="5" t="s">
        <v>30</v>
      </c>
      <c r="BN5" s="5" t="s">
        <v>30</v>
      </c>
      <c r="BO5" s="5" t="s">
        <v>30</v>
      </c>
      <c r="BP5" s="5" t="s">
        <v>30</v>
      </c>
      <c r="BQ5" s="5" t="s">
        <v>30</v>
      </c>
      <c r="BR5" s="5" t="s">
        <v>30</v>
      </c>
      <c r="BS5" s="1012" t="s">
        <v>24</v>
      </c>
      <c r="BT5" s="5" t="s">
        <v>31</v>
      </c>
      <c r="BU5" s="5" t="s">
        <v>31</v>
      </c>
      <c r="BV5" s="1012" t="s">
        <v>24</v>
      </c>
      <c r="BW5" s="5" t="s">
        <v>32</v>
      </c>
      <c r="BX5" s="5" t="s">
        <v>32</v>
      </c>
      <c r="BY5" s="5" t="s">
        <v>32</v>
      </c>
      <c r="BZ5" s="1012" t="s">
        <v>24</v>
      </c>
      <c r="CA5" s="5" t="s">
        <v>33</v>
      </c>
      <c r="CB5" s="5" t="s">
        <v>33</v>
      </c>
      <c r="CC5" s="1012" t="s">
        <v>24</v>
      </c>
      <c r="CD5" s="5" t="s">
        <v>34</v>
      </c>
      <c r="CE5" s="5" t="s">
        <v>34</v>
      </c>
      <c r="CF5" s="1012" t="s">
        <v>24</v>
      </c>
      <c r="CG5" s="5" t="s">
        <v>24</v>
      </c>
    </row>
    <row r="6" spans="1:85" ht="15.75" customHeight="1" x14ac:dyDescent="0.3">
      <c r="A6" s="5" t="s">
        <v>28</v>
      </c>
      <c r="B6" s="5" t="s">
        <v>28</v>
      </c>
      <c r="C6" s="5" t="s">
        <v>28</v>
      </c>
      <c r="D6" s="5" t="s">
        <v>28</v>
      </c>
      <c r="E6" s="5" t="s">
        <v>28</v>
      </c>
      <c r="F6" s="5" t="s">
        <v>39</v>
      </c>
      <c r="G6" s="5" t="s">
        <v>40</v>
      </c>
      <c r="H6" s="5" t="s">
        <v>41</v>
      </c>
      <c r="I6" s="5" t="s">
        <v>42</v>
      </c>
      <c r="J6" s="5" t="s">
        <v>43</v>
      </c>
      <c r="K6" s="5" t="s">
        <v>44</v>
      </c>
      <c r="L6" s="5" t="s">
        <v>24</v>
      </c>
      <c r="M6" s="5" t="s">
        <v>45</v>
      </c>
      <c r="N6" s="5" t="s">
        <v>46</v>
      </c>
      <c r="O6" s="5" t="s">
        <v>47</v>
      </c>
      <c r="P6" s="5" t="s">
        <v>48</v>
      </c>
      <c r="Q6" s="5" t="s">
        <v>49</v>
      </c>
      <c r="R6" s="5" t="s">
        <v>44</v>
      </c>
      <c r="S6" s="5" t="s">
        <v>24</v>
      </c>
      <c r="T6" s="5" t="s">
        <v>50</v>
      </c>
      <c r="U6" s="5" t="s">
        <v>51</v>
      </c>
      <c r="V6" s="5" t="s">
        <v>52</v>
      </c>
      <c r="W6" s="5" t="s">
        <v>53</v>
      </c>
      <c r="X6" s="5" t="s">
        <v>54</v>
      </c>
      <c r="Y6" s="5" t="s">
        <v>55</v>
      </c>
      <c r="Z6" s="5" t="s">
        <v>44</v>
      </c>
      <c r="AA6" s="5" t="s">
        <v>24</v>
      </c>
      <c r="AB6" s="5" t="s">
        <v>56</v>
      </c>
      <c r="AC6" s="5" t="s">
        <v>57</v>
      </c>
      <c r="AD6" s="5" t="s">
        <v>58</v>
      </c>
      <c r="AE6" s="5" t="s">
        <v>59</v>
      </c>
      <c r="AF6" s="5" t="s">
        <v>60</v>
      </c>
      <c r="AG6" s="5" t="s">
        <v>44</v>
      </c>
      <c r="AH6" s="5" t="s">
        <v>24</v>
      </c>
      <c r="AI6" s="5" t="s">
        <v>61</v>
      </c>
      <c r="AJ6" s="5" t="s">
        <v>62</v>
      </c>
      <c r="AK6" s="5" t="s">
        <v>63</v>
      </c>
      <c r="AL6" s="5" t="s">
        <v>64</v>
      </c>
      <c r="AM6" s="5" t="s">
        <v>65</v>
      </c>
      <c r="AN6" s="5" t="s">
        <v>66</v>
      </c>
      <c r="AO6" s="5" t="s">
        <v>44</v>
      </c>
      <c r="AP6" s="5" t="s">
        <v>24</v>
      </c>
      <c r="AQ6" s="5" t="s">
        <v>67</v>
      </c>
      <c r="AR6" s="5" t="s">
        <v>68</v>
      </c>
      <c r="AS6" s="5" t="s">
        <v>65</v>
      </c>
      <c r="AT6" s="5" t="s">
        <v>69</v>
      </c>
      <c r="AU6" s="5" t="s">
        <v>44</v>
      </c>
      <c r="AV6" s="5" t="s">
        <v>24</v>
      </c>
      <c r="AW6" s="5" t="s">
        <v>70</v>
      </c>
      <c r="AX6" s="5" t="s">
        <v>71</v>
      </c>
      <c r="AY6" s="5" t="s">
        <v>72</v>
      </c>
      <c r="AZ6" s="5" t="s">
        <v>73</v>
      </c>
      <c r="BA6" s="5" t="s">
        <v>44</v>
      </c>
      <c r="BB6" s="5" t="s">
        <v>24</v>
      </c>
      <c r="BC6" s="5" t="s">
        <v>12</v>
      </c>
      <c r="BD6" s="5" t="s">
        <v>24</v>
      </c>
      <c r="BE6" s="5" t="s">
        <v>14</v>
      </c>
      <c r="BF6" s="5" t="s">
        <v>13</v>
      </c>
      <c r="BG6" s="5" t="s">
        <v>24</v>
      </c>
      <c r="BH6" s="5" t="s">
        <v>37</v>
      </c>
      <c r="BI6" s="5" t="s">
        <v>24</v>
      </c>
      <c r="BJ6" s="5" t="s">
        <v>38</v>
      </c>
      <c r="BK6" s="5" t="s">
        <v>24</v>
      </c>
      <c r="BL6" s="1015"/>
      <c r="BM6" s="5" t="s">
        <v>74</v>
      </c>
      <c r="BN6" s="5" t="s">
        <v>75</v>
      </c>
      <c r="BO6" s="5" t="s">
        <v>76</v>
      </c>
      <c r="BP6" s="5" t="s">
        <v>77</v>
      </c>
      <c r="BQ6" s="5" t="s">
        <v>44</v>
      </c>
      <c r="BR6" s="5" t="s">
        <v>24</v>
      </c>
      <c r="BS6" s="1015"/>
      <c r="BT6" s="5" t="s">
        <v>31</v>
      </c>
      <c r="BU6" s="5" t="s">
        <v>24</v>
      </c>
      <c r="BV6" s="1015"/>
      <c r="BW6" s="5" t="s">
        <v>78</v>
      </c>
      <c r="BX6" s="5" t="s">
        <v>79</v>
      </c>
      <c r="BY6" s="5" t="s">
        <v>24</v>
      </c>
      <c r="BZ6" s="1015"/>
      <c r="CA6" s="5" t="s">
        <v>78</v>
      </c>
      <c r="CB6" s="5" t="s">
        <v>24</v>
      </c>
      <c r="CC6" s="1015"/>
      <c r="CD6" s="5" t="s">
        <v>34</v>
      </c>
      <c r="CE6" s="5" t="s">
        <v>24</v>
      </c>
      <c r="CF6" s="1015"/>
      <c r="CG6" s="5" t="s">
        <v>24</v>
      </c>
    </row>
    <row r="7" spans="1:85" x14ac:dyDescent="0.3">
      <c r="B7" s="6" t="s">
        <v>28</v>
      </c>
      <c r="C7" s="6" t="s">
        <v>28</v>
      </c>
      <c r="D7" s="6" t="s">
        <v>28</v>
      </c>
      <c r="E7" s="6" t="s">
        <v>28</v>
      </c>
      <c r="F7" s="6" t="s">
        <v>28</v>
      </c>
      <c r="G7" s="6" t="s">
        <v>28</v>
      </c>
      <c r="H7" s="6" t="s">
        <v>28</v>
      </c>
      <c r="I7" s="6" t="s">
        <v>28</v>
      </c>
      <c r="J7" s="6" t="s">
        <v>28</v>
      </c>
      <c r="K7" s="6" t="s">
        <v>28</v>
      </c>
      <c r="L7" s="6" t="s">
        <v>28</v>
      </c>
      <c r="M7" s="6" t="s">
        <v>28</v>
      </c>
      <c r="N7" s="6" t="s">
        <v>28</v>
      </c>
      <c r="O7" s="6" t="s">
        <v>28</v>
      </c>
      <c r="P7" s="6" t="s">
        <v>28</v>
      </c>
      <c r="Q7" s="6" t="s">
        <v>28</v>
      </c>
      <c r="R7" s="6" t="s">
        <v>28</v>
      </c>
      <c r="S7" s="6" t="s">
        <v>28</v>
      </c>
      <c r="T7" s="6" t="s">
        <v>28</v>
      </c>
      <c r="U7" s="6" t="s">
        <v>28</v>
      </c>
      <c r="V7" s="6" t="s">
        <v>28</v>
      </c>
      <c r="W7" s="6" t="s">
        <v>28</v>
      </c>
      <c r="X7" s="6" t="s">
        <v>28</v>
      </c>
      <c r="Y7" s="6" t="s">
        <v>28</v>
      </c>
      <c r="Z7" s="6" t="s">
        <v>28</v>
      </c>
      <c r="AA7" s="6" t="s">
        <v>28</v>
      </c>
      <c r="AB7" s="6" t="s">
        <v>28</v>
      </c>
      <c r="AC7" s="6" t="s">
        <v>28</v>
      </c>
      <c r="AD7" s="6" t="s">
        <v>28</v>
      </c>
      <c r="AE7" s="6" t="s">
        <v>28</v>
      </c>
      <c r="AF7" s="6" t="s">
        <v>28</v>
      </c>
      <c r="AG7" s="6" t="s">
        <v>28</v>
      </c>
      <c r="AH7" s="6" t="s">
        <v>28</v>
      </c>
      <c r="AI7" s="6" t="s">
        <v>28</v>
      </c>
      <c r="AJ7" s="6" t="s">
        <v>28</v>
      </c>
      <c r="AK7" s="6" t="s">
        <v>28</v>
      </c>
      <c r="AL7" s="6" t="s">
        <v>28</v>
      </c>
      <c r="AM7" s="6" t="s">
        <v>28</v>
      </c>
      <c r="AN7" s="6" t="s">
        <v>28</v>
      </c>
      <c r="AO7" s="6" t="s">
        <v>28</v>
      </c>
      <c r="AP7" s="6" t="s">
        <v>28</v>
      </c>
      <c r="AQ7" s="6" t="s">
        <v>28</v>
      </c>
      <c r="AR7" s="6" t="s">
        <v>28</v>
      </c>
      <c r="AS7" s="6" t="s">
        <v>28</v>
      </c>
      <c r="AT7" s="6" t="s">
        <v>28</v>
      </c>
      <c r="AU7" s="6" t="s">
        <v>28</v>
      </c>
      <c r="AV7" s="6" t="s">
        <v>28</v>
      </c>
      <c r="AW7" s="6" t="s">
        <v>28</v>
      </c>
      <c r="AX7" s="6" t="s">
        <v>28</v>
      </c>
      <c r="AY7" s="6" t="s">
        <v>28</v>
      </c>
      <c r="AZ7" s="6" t="s">
        <v>28</v>
      </c>
      <c r="BA7" s="6" t="s">
        <v>28</v>
      </c>
      <c r="BB7" s="6" t="s">
        <v>28</v>
      </c>
      <c r="BC7" s="6" t="s">
        <v>28</v>
      </c>
      <c r="BD7" s="6" t="s">
        <v>28</v>
      </c>
      <c r="BE7" s="6" t="s">
        <v>28</v>
      </c>
      <c r="BF7" s="6" t="s">
        <v>28</v>
      </c>
      <c r="BG7" s="6" t="s">
        <v>28</v>
      </c>
      <c r="BH7" s="6" t="s">
        <v>28</v>
      </c>
      <c r="BI7" s="6" t="s">
        <v>28</v>
      </c>
      <c r="BJ7" s="6" t="s">
        <v>28</v>
      </c>
      <c r="BK7" s="6" t="s">
        <v>28</v>
      </c>
      <c r="BL7" s="6" t="s">
        <v>28</v>
      </c>
      <c r="BM7" s="6" t="s">
        <v>28</v>
      </c>
      <c r="BN7" s="6" t="s">
        <v>28</v>
      </c>
      <c r="BO7" s="6" t="s">
        <v>28</v>
      </c>
      <c r="BP7" s="6" t="s">
        <v>28</v>
      </c>
      <c r="BQ7" s="6" t="s">
        <v>28</v>
      </c>
      <c r="BR7" s="6" t="s">
        <v>28</v>
      </c>
      <c r="BS7" s="6" t="s">
        <v>28</v>
      </c>
      <c r="BT7" s="6" t="s">
        <v>28</v>
      </c>
      <c r="BU7" s="6" t="s">
        <v>28</v>
      </c>
      <c r="BV7" s="6" t="s">
        <v>28</v>
      </c>
      <c r="BW7" s="6" t="s">
        <v>28</v>
      </c>
      <c r="BX7" s="6" t="s">
        <v>28</v>
      </c>
      <c r="BY7" s="6" t="s">
        <v>28</v>
      </c>
      <c r="BZ7" s="6" t="s">
        <v>28</v>
      </c>
      <c r="CA7" s="6" t="s">
        <v>28</v>
      </c>
      <c r="CB7" s="6" t="s">
        <v>28</v>
      </c>
      <c r="CC7" s="6" t="s">
        <v>28</v>
      </c>
      <c r="CD7" s="6" t="s">
        <v>28</v>
      </c>
      <c r="CE7" s="6" t="s">
        <v>28</v>
      </c>
      <c r="CF7" s="6" t="s">
        <v>28</v>
      </c>
      <c r="CG7" s="7" t="s">
        <v>28</v>
      </c>
    </row>
    <row r="8" spans="1:85" x14ac:dyDescent="0.3">
      <c r="A8" s="3" t="str">
        <f>CONCATENATE(B8,C8,D8,E8)</f>
        <v>ADDTotalTotalTotal</v>
      </c>
      <c r="B8" s="6" t="s">
        <v>81</v>
      </c>
      <c r="C8" s="6" t="s">
        <v>24</v>
      </c>
      <c r="D8" s="6" t="s">
        <v>24</v>
      </c>
      <c r="E8" s="6" t="s">
        <v>24</v>
      </c>
      <c r="F8" s="8">
        <v>221.28</v>
      </c>
      <c r="G8" s="8">
        <v>186.15</v>
      </c>
      <c r="H8" s="8">
        <v>185.52</v>
      </c>
      <c r="I8" s="8">
        <v>214.81</v>
      </c>
      <c r="J8" s="8">
        <v>162.47</v>
      </c>
      <c r="K8" s="6"/>
      <c r="L8" s="8">
        <v>970.23</v>
      </c>
      <c r="M8" s="8">
        <v>218.57</v>
      </c>
      <c r="N8" s="8">
        <v>266.06</v>
      </c>
      <c r="O8" s="8">
        <v>248.16</v>
      </c>
      <c r="P8" s="8">
        <v>165.74</v>
      </c>
      <c r="Q8" s="8">
        <v>252.25</v>
      </c>
      <c r="R8" s="8">
        <v>0</v>
      </c>
      <c r="S8" s="8">
        <v>1150.78</v>
      </c>
      <c r="T8" s="8">
        <v>226.17</v>
      </c>
      <c r="U8" s="8">
        <v>265.86</v>
      </c>
      <c r="V8" s="8">
        <v>137.19999999999999</v>
      </c>
      <c r="W8" s="8">
        <v>144.46</v>
      </c>
      <c r="X8" s="8">
        <v>166.59</v>
      </c>
      <c r="Y8" s="8">
        <v>0</v>
      </c>
      <c r="Z8" s="8">
        <v>0</v>
      </c>
      <c r="AA8" s="8">
        <v>940.28</v>
      </c>
      <c r="AB8" s="8">
        <v>301.37</v>
      </c>
      <c r="AC8" s="8">
        <v>206.36</v>
      </c>
      <c r="AD8" s="8">
        <v>431.78</v>
      </c>
      <c r="AE8" s="8">
        <v>457.1</v>
      </c>
      <c r="AF8" s="8">
        <v>299.54000000000002</v>
      </c>
      <c r="AG8" s="8">
        <v>0</v>
      </c>
      <c r="AH8" s="8">
        <v>1696.15</v>
      </c>
      <c r="AI8" s="8">
        <v>294.05</v>
      </c>
      <c r="AJ8" s="8">
        <v>284.14</v>
      </c>
      <c r="AK8" s="8">
        <v>349.92</v>
      </c>
      <c r="AL8" s="8">
        <v>259.47000000000003</v>
      </c>
      <c r="AM8" s="8">
        <v>242.67699999999999</v>
      </c>
      <c r="AN8" s="8">
        <v>316.58999999999997</v>
      </c>
      <c r="AO8" s="8">
        <v>0</v>
      </c>
      <c r="AP8" s="8">
        <v>1746.847</v>
      </c>
      <c r="AQ8" s="8">
        <v>113.14</v>
      </c>
      <c r="AR8" s="8">
        <v>74.89</v>
      </c>
      <c r="AS8" s="8">
        <v>27.62</v>
      </c>
      <c r="AT8" s="8">
        <v>114.56</v>
      </c>
      <c r="AU8" s="8">
        <v>0</v>
      </c>
      <c r="AV8" s="8">
        <v>330.21</v>
      </c>
      <c r="AW8" s="8">
        <v>265</v>
      </c>
      <c r="AX8" s="8">
        <v>50.87</v>
      </c>
      <c r="AY8" s="8">
        <v>145</v>
      </c>
      <c r="AZ8" s="8">
        <v>419</v>
      </c>
      <c r="BA8" s="6"/>
      <c r="BB8" s="8">
        <v>879.87</v>
      </c>
      <c r="BC8" s="8">
        <v>74.040000000000006</v>
      </c>
      <c r="BD8" s="8">
        <v>74.040000000000006</v>
      </c>
      <c r="BE8" s="8">
        <v>247.25</v>
      </c>
      <c r="BF8" s="8">
        <v>298.61</v>
      </c>
      <c r="BG8" s="8">
        <v>545.86</v>
      </c>
      <c r="BH8" s="8">
        <v>1.72</v>
      </c>
      <c r="BI8" s="8">
        <v>1.72</v>
      </c>
      <c r="BJ8" s="8">
        <v>90</v>
      </c>
      <c r="BK8" s="8">
        <v>90</v>
      </c>
      <c r="BL8" s="8">
        <v>8425.9869999999992</v>
      </c>
      <c r="BM8" s="8">
        <v>519.12</v>
      </c>
      <c r="BN8" s="8">
        <v>242.58</v>
      </c>
      <c r="BO8" s="8">
        <v>291.60000000000002</v>
      </c>
      <c r="BP8" s="8">
        <v>323.88</v>
      </c>
      <c r="BQ8" s="8">
        <v>0</v>
      </c>
      <c r="BR8" s="8">
        <v>1377.18</v>
      </c>
      <c r="BS8" s="8">
        <v>1377.18</v>
      </c>
      <c r="BT8" s="8">
        <v>187.23</v>
      </c>
      <c r="BU8" s="8">
        <v>187.23</v>
      </c>
      <c r="BV8" s="8">
        <v>187.23</v>
      </c>
      <c r="BW8" s="8">
        <v>473.2</v>
      </c>
      <c r="BX8" s="6"/>
      <c r="BY8" s="8">
        <v>473.2</v>
      </c>
      <c r="BZ8" s="8">
        <v>473.2</v>
      </c>
      <c r="CA8" s="8">
        <v>23.393000000000001</v>
      </c>
      <c r="CB8" s="8">
        <v>23.393000000000001</v>
      </c>
      <c r="CC8" s="8">
        <v>23.393000000000001</v>
      </c>
      <c r="CD8" s="8">
        <v>5.09</v>
      </c>
      <c r="CE8" s="8">
        <v>5.09</v>
      </c>
      <c r="CF8" s="8">
        <v>5.09</v>
      </c>
      <c r="CG8" s="9">
        <v>10492.08</v>
      </c>
    </row>
    <row r="9" spans="1:85" x14ac:dyDescent="0.3">
      <c r="A9" s="3" t="str">
        <f t="shared" ref="A9:A72" si="2">CONCATENATE(B9,C9,D9,E9)</f>
        <v>ADDDiscoveryTotalTotal</v>
      </c>
      <c r="B9" s="6" t="s">
        <v>81</v>
      </c>
      <c r="C9" s="6" t="s">
        <v>82</v>
      </c>
      <c r="D9" s="6" t="s">
        <v>24</v>
      </c>
      <c r="E9" s="6" t="s">
        <v>24</v>
      </c>
      <c r="F9" s="8">
        <v>73</v>
      </c>
      <c r="G9" s="8">
        <v>179.78</v>
      </c>
      <c r="H9" s="8">
        <v>115.23</v>
      </c>
      <c r="I9" s="8">
        <v>194.54</v>
      </c>
      <c r="J9" s="8">
        <v>156.65</v>
      </c>
      <c r="K9" s="6"/>
      <c r="L9" s="8">
        <v>719.2</v>
      </c>
      <c r="M9" s="8">
        <v>198.33</v>
      </c>
      <c r="N9" s="8">
        <v>218.93</v>
      </c>
      <c r="O9" s="8">
        <v>225.88</v>
      </c>
      <c r="P9" s="8">
        <v>147.16</v>
      </c>
      <c r="Q9" s="8">
        <v>89.92</v>
      </c>
      <c r="R9" s="8">
        <v>0</v>
      </c>
      <c r="S9" s="8">
        <v>880.22</v>
      </c>
      <c r="T9" s="8">
        <v>215.53</v>
      </c>
      <c r="U9" s="8">
        <v>239.59</v>
      </c>
      <c r="V9" s="8">
        <v>126.16</v>
      </c>
      <c r="W9" s="8">
        <v>121.07</v>
      </c>
      <c r="X9" s="8">
        <v>163.92</v>
      </c>
      <c r="Y9" s="8">
        <v>0</v>
      </c>
      <c r="Z9" s="8">
        <v>0</v>
      </c>
      <c r="AA9" s="8">
        <v>866.27</v>
      </c>
      <c r="AB9" s="8">
        <v>138.66999999999999</v>
      </c>
      <c r="AC9" s="8">
        <v>129.81</v>
      </c>
      <c r="AD9" s="8">
        <v>181.39</v>
      </c>
      <c r="AE9" s="8">
        <v>121.6</v>
      </c>
      <c r="AF9" s="8">
        <v>287.42</v>
      </c>
      <c r="AG9" s="8">
        <v>0</v>
      </c>
      <c r="AH9" s="8">
        <v>858.89</v>
      </c>
      <c r="AI9" s="8">
        <v>68.739999999999995</v>
      </c>
      <c r="AJ9" s="8">
        <v>265.32</v>
      </c>
      <c r="AK9" s="8">
        <v>273.58999999999997</v>
      </c>
      <c r="AL9" s="8">
        <v>240.02</v>
      </c>
      <c r="AM9" s="8">
        <v>186.15700000000001</v>
      </c>
      <c r="AN9" s="8">
        <v>217.17</v>
      </c>
      <c r="AO9" s="8">
        <v>0</v>
      </c>
      <c r="AP9" s="8">
        <v>1250.9970000000001</v>
      </c>
      <c r="AQ9" s="8">
        <v>105.34</v>
      </c>
      <c r="AR9" s="6"/>
      <c r="AS9" s="8">
        <v>14.71</v>
      </c>
      <c r="AT9" s="8">
        <v>105.38</v>
      </c>
      <c r="AU9" s="8">
        <v>0</v>
      </c>
      <c r="AV9" s="8">
        <v>225.43</v>
      </c>
      <c r="AW9" s="8">
        <v>246.45</v>
      </c>
      <c r="AX9" s="8">
        <v>50.24</v>
      </c>
      <c r="AY9" s="8">
        <v>123.21</v>
      </c>
      <c r="AZ9" s="8">
        <v>400.33</v>
      </c>
      <c r="BA9" s="6"/>
      <c r="BB9" s="8">
        <v>820.23</v>
      </c>
      <c r="BC9" s="8">
        <v>62.15</v>
      </c>
      <c r="BD9" s="8">
        <v>62.15</v>
      </c>
      <c r="BE9" s="8">
        <v>242.76</v>
      </c>
      <c r="BF9" s="8">
        <v>141.06</v>
      </c>
      <c r="BG9" s="8">
        <v>383.82</v>
      </c>
      <c r="BH9" s="8">
        <v>1.72</v>
      </c>
      <c r="BI9" s="8">
        <v>1.72</v>
      </c>
      <c r="BJ9" s="6"/>
      <c r="BK9" s="6"/>
      <c r="BL9" s="8">
        <v>6068.9269999999997</v>
      </c>
      <c r="BM9" s="8">
        <v>21.11</v>
      </c>
      <c r="BN9" s="8">
        <v>232.58</v>
      </c>
      <c r="BO9" s="8">
        <v>149.6</v>
      </c>
      <c r="BP9" s="8">
        <v>225.24</v>
      </c>
      <c r="BQ9" s="8">
        <v>-11.64</v>
      </c>
      <c r="BR9" s="8">
        <v>616.89</v>
      </c>
      <c r="BS9" s="8">
        <v>616.89</v>
      </c>
      <c r="BT9" s="6"/>
      <c r="BU9" s="6"/>
      <c r="BV9" s="6"/>
      <c r="BW9" s="6"/>
      <c r="BX9" s="6"/>
      <c r="BY9" s="6"/>
      <c r="BZ9" s="6"/>
      <c r="CA9" s="6"/>
      <c r="CB9" s="6"/>
      <c r="CC9" s="6"/>
      <c r="CD9" s="6"/>
      <c r="CE9" s="6"/>
      <c r="CF9" s="6"/>
      <c r="CG9" s="9">
        <v>6685.817</v>
      </c>
    </row>
    <row r="10" spans="1:85" x14ac:dyDescent="0.3">
      <c r="A10" s="3" t="str">
        <f t="shared" si="2"/>
        <v>ADDDiscoveryAdvancing Informal STEM Learning (AISL)Total</v>
      </c>
      <c r="B10" s="6" t="s">
        <v>81</v>
      </c>
      <c r="C10" s="6" t="s">
        <v>82</v>
      </c>
      <c r="D10" s="6" t="s">
        <v>83</v>
      </c>
      <c r="E10" s="6" t="s">
        <v>24</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8">
        <v>74.5</v>
      </c>
      <c r="BO10" s="6"/>
      <c r="BP10" s="6"/>
      <c r="BQ10" s="6"/>
      <c r="BR10" s="8">
        <v>74.5</v>
      </c>
      <c r="BS10" s="8">
        <v>74.5</v>
      </c>
      <c r="BT10" s="6"/>
      <c r="BU10" s="6"/>
      <c r="BV10" s="6"/>
      <c r="BW10" s="6"/>
      <c r="BX10" s="6"/>
      <c r="BY10" s="6"/>
      <c r="BZ10" s="6"/>
      <c r="CA10" s="6"/>
      <c r="CB10" s="6"/>
      <c r="CC10" s="6"/>
      <c r="CD10" s="6"/>
      <c r="CE10" s="6"/>
      <c r="CF10" s="6"/>
      <c r="CG10" s="9">
        <v>74.5</v>
      </c>
    </row>
    <row r="11" spans="1:85" x14ac:dyDescent="0.3">
      <c r="A11" s="3" t="str">
        <f t="shared" si="2"/>
        <v>ADDDiscoveryAlliances for Graduate Education &amp; the Professoriate (AGEP)Total</v>
      </c>
      <c r="B11" s="6" t="s">
        <v>81</v>
      </c>
      <c r="C11" s="6" t="s">
        <v>82</v>
      </c>
      <c r="D11" s="6" t="s">
        <v>84</v>
      </c>
      <c r="E11" s="6" t="s">
        <v>24</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8">
        <v>14</v>
      </c>
      <c r="BQ11" s="6"/>
      <c r="BR11" s="8">
        <v>14</v>
      </c>
      <c r="BS11" s="8">
        <v>14</v>
      </c>
      <c r="BT11" s="6"/>
      <c r="BU11" s="6"/>
      <c r="BV11" s="6"/>
      <c r="BW11" s="6"/>
      <c r="BX11" s="6"/>
      <c r="BY11" s="6"/>
      <c r="BZ11" s="6"/>
      <c r="CA11" s="6"/>
      <c r="CB11" s="6"/>
      <c r="CC11" s="6"/>
      <c r="CD11" s="6"/>
      <c r="CE11" s="6"/>
      <c r="CF11" s="6"/>
      <c r="CG11" s="9">
        <v>14</v>
      </c>
    </row>
    <row r="12" spans="1:85" x14ac:dyDescent="0.3">
      <c r="A12" s="3" t="str">
        <f t="shared" si="2"/>
        <v>ADDDiscoveryArtificial Intelligence Research Institutes, NationalTotal</v>
      </c>
      <c r="B12" s="6" t="s">
        <v>81</v>
      </c>
      <c r="C12" s="6" t="s">
        <v>82</v>
      </c>
      <c r="D12" s="6" t="s">
        <v>85</v>
      </c>
      <c r="E12" s="6" t="s">
        <v>24</v>
      </c>
      <c r="F12" s="6"/>
      <c r="G12" s="6"/>
      <c r="H12" s="6"/>
      <c r="I12" s="6"/>
      <c r="J12" s="6"/>
      <c r="K12" s="6"/>
      <c r="L12" s="6"/>
      <c r="M12" s="8">
        <v>3</v>
      </c>
      <c r="N12" s="8">
        <v>3.5</v>
      </c>
      <c r="O12" s="8">
        <v>10</v>
      </c>
      <c r="P12" s="8">
        <v>10</v>
      </c>
      <c r="Q12" s="8">
        <v>4</v>
      </c>
      <c r="R12" s="6"/>
      <c r="S12" s="8">
        <v>30.5</v>
      </c>
      <c r="T12" s="8">
        <v>2</v>
      </c>
      <c r="U12" s="8">
        <v>3</v>
      </c>
      <c r="V12" s="8">
        <v>2.7</v>
      </c>
      <c r="W12" s="8">
        <v>1.5</v>
      </c>
      <c r="X12" s="6"/>
      <c r="Y12" s="6"/>
      <c r="Z12" s="6"/>
      <c r="AA12" s="8">
        <v>9.1999999999999993</v>
      </c>
      <c r="AB12" s="6"/>
      <c r="AC12" s="6"/>
      <c r="AD12" s="6"/>
      <c r="AE12" s="6"/>
      <c r="AF12" s="8">
        <v>5</v>
      </c>
      <c r="AG12" s="6"/>
      <c r="AH12" s="8">
        <v>5</v>
      </c>
      <c r="AI12" s="8">
        <v>0.3</v>
      </c>
      <c r="AJ12" s="8">
        <v>2</v>
      </c>
      <c r="AK12" s="6"/>
      <c r="AL12" s="6"/>
      <c r="AM12" s="6"/>
      <c r="AN12" s="8">
        <v>2.7</v>
      </c>
      <c r="AO12" s="6"/>
      <c r="AP12" s="8">
        <v>5</v>
      </c>
      <c r="AQ12" s="8">
        <v>0.25</v>
      </c>
      <c r="AR12" s="6"/>
      <c r="AS12" s="8">
        <v>0.76500000000000001</v>
      </c>
      <c r="AT12" s="6"/>
      <c r="AU12" s="6"/>
      <c r="AV12" s="8">
        <v>1.0149999999999999</v>
      </c>
      <c r="AW12" s="6"/>
      <c r="AX12" s="6"/>
      <c r="AY12" s="6"/>
      <c r="AZ12" s="6"/>
      <c r="BA12" s="6"/>
      <c r="BB12" s="6"/>
      <c r="BC12" s="6"/>
      <c r="BD12" s="6"/>
      <c r="BE12" s="6"/>
      <c r="BF12" s="6"/>
      <c r="BG12" s="6"/>
      <c r="BH12" s="6"/>
      <c r="BI12" s="6"/>
      <c r="BJ12" s="6"/>
      <c r="BK12" s="6"/>
      <c r="BL12" s="8">
        <v>50.715000000000003</v>
      </c>
      <c r="BM12" s="6"/>
      <c r="BN12" s="8">
        <v>19.59</v>
      </c>
      <c r="BO12" s="6"/>
      <c r="BP12" s="6"/>
      <c r="BQ12" s="6"/>
      <c r="BR12" s="8">
        <v>19.59</v>
      </c>
      <c r="BS12" s="8">
        <v>19.59</v>
      </c>
      <c r="BT12" s="6"/>
      <c r="BU12" s="6"/>
      <c r="BV12" s="6"/>
      <c r="BW12" s="6"/>
      <c r="BX12" s="6"/>
      <c r="BY12" s="6"/>
      <c r="BZ12" s="6"/>
      <c r="CA12" s="6"/>
      <c r="CB12" s="6"/>
      <c r="CC12" s="6"/>
      <c r="CD12" s="6"/>
      <c r="CE12" s="6"/>
      <c r="CF12" s="6"/>
      <c r="CG12" s="9">
        <v>70.305000000000007</v>
      </c>
    </row>
    <row r="13" spans="1:85" x14ac:dyDescent="0.3">
      <c r="A13" s="3" t="str">
        <f t="shared" si="2"/>
        <v>ADDDiscoveryBig IdeasTotal</v>
      </c>
      <c r="B13" s="6" t="s">
        <v>81</v>
      </c>
      <c r="C13" s="6" t="s">
        <v>82</v>
      </c>
      <c r="D13" s="6" t="s">
        <v>86</v>
      </c>
      <c r="E13" s="6" t="s">
        <v>24</v>
      </c>
      <c r="F13" s="6"/>
      <c r="G13" s="6"/>
      <c r="H13" s="8">
        <v>30</v>
      </c>
      <c r="I13" s="6"/>
      <c r="J13" s="6"/>
      <c r="K13" s="6"/>
      <c r="L13" s="8">
        <v>30</v>
      </c>
      <c r="M13" s="6"/>
      <c r="N13" s="8">
        <v>0</v>
      </c>
      <c r="O13" s="6"/>
      <c r="P13" s="8">
        <v>30</v>
      </c>
      <c r="Q13" s="6"/>
      <c r="R13" s="8">
        <v>0</v>
      </c>
      <c r="S13" s="8">
        <v>30</v>
      </c>
      <c r="T13" s="6"/>
      <c r="U13" s="6"/>
      <c r="V13" s="6"/>
      <c r="W13" s="8">
        <v>0</v>
      </c>
      <c r="X13" s="8">
        <v>30</v>
      </c>
      <c r="Y13" s="6"/>
      <c r="Z13" s="8">
        <v>0</v>
      </c>
      <c r="AA13" s="8">
        <v>30</v>
      </c>
      <c r="AB13" s="6"/>
      <c r="AC13" s="6"/>
      <c r="AD13" s="6"/>
      <c r="AE13" s="6"/>
      <c r="AF13" s="8">
        <v>30</v>
      </c>
      <c r="AG13" s="8">
        <v>0</v>
      </c>
      <c r="AH13" s="8">
        <v>30</v>
      </c>
      <c r="AI13" s="6"/>
      <c r="AJ13" s="8">
        <v>0</v>
      </c>
      <c r="AK13" s="6"/>
      <c r="AL13" s="6"/>
      <c r="AM13" s="8">
        <v>62</v>
      </c>
      <c r="AN13" s="6"/>
      <c r="AO13" s="8">
        <v>0</v>
      </c>
      <c r="AP13" s="8">
        <v>62</v>
      </c>
      <c r="AQ13" s="8">
        <v>0</v>
      </c>
      <c r="AR13" s="6"/>
      <c r="AS13" s="6"/>
      <c r="AT13" s="8">
        <v>0</v>
      </c>
      <c r="AU13" s="8">
        <v>0</v>
      </c>
      <c r="AV13" s="8">
        <v>0</v>
      </c>
      <c r="AW13" s="8">
        <v>0</v>
      </c>
      <c r="AX13" s="6"/>
      <c r="AY13" s="6"/>
      <c r="AZ13" s="6"/>
      <c r="BA13" s="6"/>
      <c r="BB13" s="8">
        <v>0</v>
      </c>
      <c r="BC13" s="6"/>
      <c r="BD13" s="6"/>
      <c r="BE13" s="6"/>
      <c r="BF13" s="8">
        <v>16</v>
      </c>
      <c r="BG13" s="8">
        <v>16</v>
      </c>
      <c r="BH13" s="6"/>
      <c r="BI13" s="6"/>
      <c r="BJ13" s="6"/>
      <c r="BK13" s="6"/>
      <c r="BL13" s="8">
        <v>198</v>
      </c>
      <c r="BM13" s="8">
        <v>0</v>
      </c>
      <c r="BN13" s="6"/>
      <c r="BO13" s="6"/>
      <c r="BP13" s="8">
        <v>50.5</v>
      </c>
      <c r="BQ13" s="6"/>
      <c r="BR13" s="8">
        <v>50.5</v>
      </c>
      <c r="BS13" s="8">
        <v>50.5</v>
      </c>
      <c r="BT13" s="6"/>
      <c r="BU13" s="6"/>
      <c r="BV13" s="6"/>
      <c r="BW13" s="6"/>
      <c r="BX13" s="6"/>
      <c r="BY13" s="6"/>
      <c r="BZ13" s="6"/>
      <c r="CA13" s="6"/>
      <c r="CB13" s="6"/>
      <c r="CC13" s="6"/>
      <c r="CD13" s="6"/>
      <c r="CE13" s="6"/>
      <c r="CF13" s="6"/>
      <c r="CG13" s="9">
        <v>248.5</v>
      </c>
    </row>
    <row r="14" spans="1:85" x14ac:dyDescent="0.3">
      <c r="A14" s="3" t="str">
        <f t="shared" si="2"/>
        <v>ADDDiscoveryBig IdeasGrowing Convergence Research (GCR)</v>
      </c>
      <c r="B14" s="6" t="s">
        <v>81</v>
      </c>
      <c r="C14" s="6" t="s">
        <v>82</v>
      </c>
      <c r="D14" s="6" t="s">
        <v>86</v>
      </c>
      <c r="E14" s="6" t="s">
        <v>87</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8">
        <v>16</v>
      </c>
      <c r="BG14" s="8">
        <v>16</v>
      </c>
      <c r="BH14" s="6"/>
      <c r="BI14" s="6"/>
      <c r="BJ14" s="6"/>
      <c r="BK14" s="6"/>
      <c r="BL14" s="8">
        <v>16</v>
      </c>
      <c r="BM14" s="6"/>
      <c r="BN14" s="6"/>
      <c r="BO14" s="6"/>
      <c r="BP14" s="6"/>
      <c r="BQ14" s="6"/>
      <c r="BR14" s="6"/>
      <c r="BS14" s="6"/>
      <c r="BT14" s="6"/>
      <c r="BU14" s="6"/>
      <c r="BV14" s="6"/>
      <c r="BW14" s="6"/>
      <c r="BX14" s="6"/>
      <c r="BY14" s="6"/>
      <c r="BZ14" s="6"/>
      <c r="CA14" s="6"/>
      <c r="CB14" s="6"/>
      <c r="CC14" s="6"/>
      <c r="CD14" s="6"/>
      <c r="CE14" s="6"/>
      <c r="CF14" s="6"/>
      <c r="CG14" s="9">
        <v>16</v>
      </c>
    </row>
    <row r="15" spans="1:85" x14ac:dyDescent="0.3">
      <c r="A15" s="3" t="str">
        <f t="shared" si="2"/>
        <v>ADDDiscoveryBig IdeasHarnessing the Data Revolution for 21st Century Science and Engineering (HDR)</v>
      </c>
      <c r="B15" s="6" t="s">
        <v>81</v>
      </c>
      <c r="C15" s="6" t="s">
        <v>82</v>
      </c>
      <c r="D15" s="6" t="s">
        <v>86</v>
      </c>
      <c r="E15" s="6" t="s">
        <v>88</v>
      </c>
      <c r="F15" s="6"/>
      <c r="G15" s="6"/>
      <c r="H15" s="6"/>
      <c r="I15" s="6"/>
      <c r="J15" s="6"/>
      <c r="K15" s="6"/>
      <c r="L15" s="6"/>
      <c r="M15" s="6"/>
      <c r="N15" s="6"/>
      <c r="O15" s="6"/>
      <c r="P15" s="8">
        <v>30</v>
      </c>
      <c r="Q15" s="6"/>
      <c r="R15" s="6"/>
      <c r="S15" s="8">
        <v>30</v>
      </c>
      <c r="T15" s="6"/>
      <c r="U15" s="6"/>
      <c r="V15" s="6"/>
      <c r="W15" s="6"/>
      <c r="X15" s="6"/>
      <c r="Y15" s="6"/>
      <c r="Z15" s="8">
        <v>0</v>
      </c>
      <c r="AA15" s="8">
        <v>0</v>
      </c>
      <c r="AB15" s="6"/>
      <c r="AC15" s="6"/>
      <c r="AD15" s="6"/>
      <c r="AE15" s="6"/>
      <c r="AF15" s="6"/>
      <c r="AG15" s="6"/>
      <c r="AH15" s="6"/>
      <c r="AI15" s="6"/>
      <c r="AJ15" s="6"/>
      <c r="AK15" s="6"/>
      <c r="AL15" s="6"/>
      <c r="AM15" s="6"/>
      <c r="AN15" s="6"/>
      <c r="AO15" s="6"/>
      <c r="AP15" s="6"/>
      <c r="AQ15" s="6"/>
      <c r="AR15" s="6"/>
      <c r="AS15" s="6"/>
      <c r="AT15" s="6"/>
      <c r="AU15" s="6"/>
      <c r="AV15" s="6"/>
      <c r="AW15" s="8">
        <v>0</v>
      </c>
      <c r="AX15" s="6"/>
      <c r="AY15" s="6"/>
      <c r="AZ15" s="6"/>
      <c r="BA15" s="6"/>
      <c r="BB15" s="8">
        <v>0</v>
      </c>
      <c r="BC15" s="6"/>
      <c r="BD15" s="6"/>
      <c r="BE15" s="6"/>
      <c r="BF15" s="8">
        <v>0</v>
      </c>
      <c r="BG15" s="8">
        <v>0</v>
      </c>
      <c r="BH15" s="6"/>
      <c r="BI15" s="6"/>
      <c r="BJ15" s="6"/>
      <c r="BK15" s="6"/>
      <c r="BL15" s="8">
        <v>30</v>
      </c>
      <c r="BM15" s="6"/>
      <c r="BN15" s="6"/>
      <c r="BO15" s="6"/>
      <c r="BP15" s="6"/>
      <c r="BQ15" s="6"/>
      <c r="BR15" s="6"/>
      <c r="BS15" s="6"/>
      <c r="BT15" s="6"/>
      <c r="BU15" s="6"/>
      <c r="BV15" s="6"/>
      <c r="BW15" s="6"/>
      <c r="BX15" s="6"/>
      <c r="BY15" s="6"/>
      <c r="BZ15" s="6"/>
      <c r="CA15" s="6"/>
      <c r="CB15" s="6"/>
      <c r="CC15" s="6"/>
      <c r="CD15" s="6"/>
      <c r="CE15" s="6"/>
      <c r="CF15" s="6"/>
      <c r="CG15" s="9">
        <v>30</v>
      </c>
    </row>
    <row r="16" spans="1:85" x14ac:dyDescent="0.3">
      <c r="A16" s="3" t="str">
        <f t="shared" si="2"/>
        <v>ADDDiscoveryBig IdeasNavigating the New Arctic (NNA)</v>
      </c>
      <c r="B16" s="6" t="s">
        <v>81</v>
      </c>
      <c r="C16" s="6" t="s">
        <v>82</v>
      </c>
      <c r="D16" s="6" t="s">
        <v>86</v>
      </c>
      <c r="E16" s="6" t="s">
        <v>89</v>
      </c>
      <c r="F16" s="6"/>
      <c r="G16" s="6"/>
      <c r="H16" s="6"/>
      <c r="I16" s="6"/>
      <c r="J16" s="6"/>
      <c r="K16" s="6"/>
      <c r="L16" s="6"/>
      <c r="M16" s="6"/>
      <c r="N16" s="6"/>
      <c r="O16" s="6"/>
      <c r="P16" s="6"/>
      <c r="Q16" s="6"/>
      <c r="R16" s="6"/>
      <c r="S16" s="6"/>
      <c r="T16" s="6"/>
      <c r="U16" s="6"/>
      <c r="V16" s="6"/>
      <c r="W16" s="6"/>
      <c r="X16" s="6"/>
      <c r="Y16" s="6"/>
      <c r="Z16" s="6"/>
      <c r="AA16" s="6"/>
      <c r="AB16" s="6"/>
      <c r="AC16" s="6"/>
      <c r="AD16" s="6"/>
      <c r="AE16" s="6"/>
      <c r="AF16" s="8">
        <v>30</v>
      </c>
      <c r="AG16" s="6"/>
      <c r="AH16" s="8">
        <v>30</v>
      </c>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8">
        <v>30</v>
      </c>
      <c r="BM16" s="6"/>
      <c r="BN16" s="6"/>
      <c r="BO16" s="6"/>
      <c r="BP16" s="6"/>
      <c r="BQ16" s="6"/>
      <c r="BR16" s="6"/>
      <c r="BS16" s="6"/>
      <c r="BT16" s="6"/>
      <c r="BU16" s="6"/>
      <c r="BV16" s="6"/>
      <c r="BW16" s="6"/>
      <c r="BX16" s="6"/>
      <c r="BY16" s="6"/>
      <c r="BZ16" s="6"/>
      <c r="CA16" s="6"/>
      <c r="CB16" s="6"/>
      <c r="CC16" s="6"/>
      <c r="CD16" s="6"/>
      <c r="CE16" s="6"/>
      <c r="CF16" s="6"/>
      <c r="CG16" s="9">
        <v>30</v>
      </c>
    </row>
    <row r="17" spans="1:85" x14ac:dyDescent="0.3">
      <c r="A17" s="3" t="str">
        <f t="shared" si="2"/>
        <v>ADDDiscoveryBig IdeasNSF INCLUDES</v>
      </c>
      <c r="B17" s="6" t="s">
        <v>81</v>
      </c>
      <c r="C17" s="6" t="s">
        <v>82</v>
      </c>
      <c r="D17" s="6" t="s">
        <v>86</v>
      </c>
      <c r="E17" s="6" t="s">
        <v>91</v>
      </c>
      <c r="F17" s="6"/>
      <c r="G17" s="6"/>
      <c r="H17" s="6"/>
      <c r="I17" s="6"/>
      <c r="J17" s="6"/>
      <c r="K17" s="6"/>
      <c r="L17" s="6"/>
      <c r="M17" s="6"/>
      <c r="N17" s="8">
        <v>0</v>
      </c>
      <c r="O17" s="6"/>
      <c r="P17" s="8">
        <v>0</v>
      </c>
      <c r="Q17" s="6"/>
      <c r="R17" s="6"/>
      <c r="S17" s="8">
        <v>0</v>
      </c>
      <c r="T17" s="6"/>
      <c r="U17" s="6"/>
      <c r="V17" s="6"/>
      <c r="W17" s="8">
        <v>0</v>
      </c>
      <c r="X17" s="6"/>
      <c r="Y17" s="6"/>
      <c r="Z17" s="6"/>
      <c r="AA17" s="8">
        <v>0</v>
      </c>
      <c r="AB17" s="6"/>
      <c r="AC17" s="6"/>
      <c r="AD17" s="6"/>
      <c r="AE17" s="6"/>
      <c r="AF17" s="8">
        <v>0</v>
      </c>
      <c r="AG17" s="6"/>
      <c r="AH17" s="8">
        <v>0</v>
      </c>
      <c r="AI17" s="6"/>
      <c r="AJ17" s="6"/>
      <c r="AK17" s="6"/>
      <c r="AL17" s="6"/>
      <c r="AM17" s="8">
        <v>0</v>
      </c>
      <c r="AN17" s="6"/>
      <c r="AO17" s="6"/>
      <c r="AP17" s="8">
        <v>0</v>
      </c>
      <c r="AQ17" s="8">
        <v>0</v>
      </c>
      <c r="AR17" s="6"/>
      <c r="AS17" s="6"/>
      <c r="AT17" s="8">
        <v>0</v>
      </c>
      <c r="AU17" s="6"/>
      <c r="AV17" s="8">
        <v>0</v>
      </c>
      <c r="AW17" s="6"/>
      <c r="AX17" s="6"/>
      <c r="AY17" s="6"/>
      <c r="AZ17" s="6"/>
      <c r="BA17" s="6"/>
      <c r="BB17" s="6"/>
      <c r="BC17" s="6"/>
      <c r="BD17" s="6"/>
      <c r="BE17" s="6"/>
      <c r="BF17" s="8">
        <v>0</v>
      </c>
      <c r="BG17" s="8">
        <v>0</v>
      </c>
      <c r="BH17" s="6"/>
      <c r="BI17" s="6"/>
      <c r="BJ17" s="6"/>
      <c r="BK17" s="6"/>
      <c r="BL17" s="8">
        <v>0</v>
      </c>
      <c r="BM17" s="8">
        <v>0</v>
      </c>
      <c r="BN17" s="6"/>
      <c r="BO17" s="6"/>
      <c r="BP17" s="8">
        <v>50.5</v>
      </c>
      <c r="BQ17" s="6"/>
      <c r="BR17" s="8">
        <v>50.5</v>
      </c>
      <c r="BS17" s="8">
        <v>50.5</v>
      </c>
      <c r="BT17" s="6"/>
      <c r="BU17" s="6"/>
      <c r="BV17" s="6"/>
      <c r="BW17" s="6"/>
      <c r="BX17" s="6"/>
      <c r="BY17" s="6"/>
      <c r="BZ17" s="6"/>
      <c r="CA17" s="6"/>
      <c r="CB17" s="6"/>
      <c r="CC17" s="6"/>
      <c r="CD17" s="6"/>
      <c r="CE17" s="6"/>
      <c r="CF17" s="6"/>
      <c r="CG17" s="9">
        <v>50.5</v>
      </c>
    </row>
    <row r="18" spans="1:85" x14ac:dyDescent="0.3">
      <c r="A18" s="3" t="str">
        <f t="shared" si="2"/>
        <v>ADDDiscoveryBig IdeasQuantum Leap Challenge Institutes</v>
      </c>
      <c r="B18" s="6" t="s">
        <v>81</v>
      </c>
      <c r="C18" s="6" t="s">
        <v>82</v>
      </c>
      <c r="D18" s="6" t="s">
        <v>86</v>
      </c>
      <c r="E18" s="6" t="s">
        <v>92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8">
        <v>32</v>
      </c>
      <c r="AN18" s="6"/>
      <c r="AO18" s="6"/>
      <c r="AP18" s="8">
        <v>32</v>
      </c>
      <c r="AQ18" s="6"/>
      <c r="AR18" s="6"/>
      <c r="AS18" s="6"/>
      <c r="AT18" s="6"/>
      <c r="AU18" s="6"/>
      <c r="AV18" s="6"/>
      <c r="AW18" s="6"/>
      <c r="AX18" s="6"/>
      <c r="AY18" s="6"/>
      <c r="AZ18" s="6"/>
      <c r="BA18" s="6"/>
      <c r="BB18" s="6"/>
      <c r="BC18" s="6"/>
      <c r="BD18" s="6"/>
      <c r="BE18" s="6"/>
      <c r="BF18" s="6"/>
      <c r="BG18" s="6"/>
      <c r="BH18" s="6"/>
      <c r="BI18" s="6"/>
      <c r="BJ18" s="6"/>
      <c r="BK18" s="6"/>
      <c r="BL18" s="8">
        <v>32</v>
      </c>
      <c r="BM18" s="6"/>
      <c r="BN18" s="6"/>
      <c r="BO18" s="6"/>
      <c r="BP18" s="6"/>
      <c r="BQ18" s="6"/>
      <c r="BR18" s="6"/>
      <c r="BS18" s="6"/>
      <c r="BT18" s="6"/>
      <c r="BU18" s="6"/>
      <c r="BV18" s="6"/>
      <c r="BW18" s="6"/>
      <c r="BX18" s="6"/>
      <c r="BY18" s="6"/>
      <c r="BZ18" s="6"/>
      <c r="CA18" s="6"/>
      <c r="CB18" s="6"/>
      <c r="CC18" s="6"/>
      <c r="CD18" s="6"/>
      <c r="CE18" s="6"/>
      <c r="CF18" s="6"/>
      <c r="CG18" s="9">
        <v>32</v>
      </c>
    </row>
    <row r="19" spans="1:85" x14ac:dyDescent="0.3">
      <c r="A19" s="3" t="str">
        <f t="shared" si="2"/>
        <v>ADDDiscoveryBig IdeasThe Future of Work at the Human-Technology Frontier (FW-HTF)</v>
      </c>
      <c r="B19" s="6" t="s">
        <v>81</v>
      </c>
      <c r="C19" s="6" t="s">
        <v>82</v>
      </c>
      <c r="D19" s="6" t="s">
        <v>86</v>
      </c>
      <c r="E19" s="6" t="s">
        <v>93</v>
      </c>
      <c r="F19" s="6"/>
      <c r="G19" s="6"/>
      <c r="H19" s="6"/>
      <c r="I19" s="6"/>
      <c r="J19" s="6"/>
      <c r="K19" s="6"/>
      <c r="L19" s="6"/>
      <c r="M19" s="6"/>
      <c r="N19" s="6"/>
      <c r="O19" s="6"/>
      <c r="P19" s="6"/>
      <c r="Q19" s="6"/>
      <c r="R19" s="6"/>
      <c r="S19" s="6"/>
      <c r="T19" s="6"/>
      <c r="U19" s="6"/>
      <c r="V19" s="6"/>
      <c r="W19" s="6"/>
      <c r="X19" s="8">
        <v>30</v>
      </c>
      <c r="Y19" s="6"/>
      <c r="Z19" s="8">
        <v>0</v>
      </c>
      <c r="AA19" s="8">
        <v>30</v>
      </c>
      <c r="AB19" s="6"/>
      <c r="AC19" s="6"/>
      <c r="AD19" s="6"/>
      <c r="AE19" s="6"/>
      <c r="AF19" s="6"/>
      <c r="AG19" s="6"/>
      <c r="AH19" s="6"/>
      <c r="AI19" s="6"/>
      <c r="AJ19" s="6"/>
      <c r="AK19" s="6"/>
      <c r="AL19" s="6"/>
      <c r="AM19" s="6"/>
      <c r="AN19" s="6"/>
      <c r="AO19" s="6"/>
      <c r="AP19" s="6"/>
      <c r="AQ19" s="6"/>
      <c r="AR19" s="6"/>
      <c r="AS19" s="6"/>
      <c r="AT19" s="6"/>
      <c r="AU19" s="6"/>
      <c r="AV19" s="6"/>
      <c r="AW19" s="8">
        <v>0</v>
      </c>
      <c r="AX19" s="6"/>
      <c r="AY19" s="6"/>
      <c r="AZ19" s="6"/>
      <c r="BA19" s="6"/>
      <c r="BB19" s="8">
        <v>0</v>
      </c>
      <c r="BC19" s="6"/>
      <c r="BD19" s="6"/>
      <c r="BE19" s="6"/>
      <c r="BF19" s="8">
        <v>0</v>
      </c>
      <c r="BG19" s="8">
        <v>0</v>
      </c>
      <c r="BH19" s="6"/>
      <c r="BI19" s="6"/>
      <c r="BJ19" s="6"/>
      <c r="BK19" s="6"/>
      <c r="BL19" s="8">
        <v>30</v>
      </c>
      <c r="BM19" s="6"/>
      <c r="BN19" s="6"/>
      <c r="BO19" s="6"/>
      <c r="BP19" s="6"/>
      <c r="BQ19" s="6"/>
      <c r="BR19" s="6"/>
      <c r="BS19" s="6"/>
      <c r="BT19" s="6"/>
      <c r="BU19" s="6"/>
      <c r="BV19" s="6"/>
      <c r="BW19" s="6"/>
      <c r="BX19" s="6"/>
      <c r="BY19" s="6"/>
      <c r="BZ19" s="6"/>
      <c r="CA19" s="6"/>
      <c r="CB19" s="6"/>
      <c r="CC19" s="6"/>
      <c r="CD19" s="6"/>
      <c r="CE19" s="6"/>
      <c r="CF19" s="6"/>
      <c r="CG19" s="9">
        <v>30</v>
      </c>
    </row>
    <row r="20" spans="1:85" x14ac:dyDescent="0.3">
      <c r="A20" s="3" t="str">
        <f t="shared" si="2"/>
        <v>ADDDiscoveryBig IdeasUnderstanding the Rules of Life (URoL)</v>
      </c>
      <c r="B20" s="6" t="s">
        <v>81</v>
      </c>
      <c r="C20" s="6" t="s">
        <v>82</v>
      </c>
      <c r="D20" s="6" t="s">
        <v>86</v>
      </c>
      <c r="E20" s="6" t="s">
        <v>95</v>
      </c>
      <c r="F20" s="6"/>
      <c r="G20" s="6"/>
      <c r="H20" s="8">
        <v>30</v>
      </c>
      <c r="I20" s="6"/>
      <c r="J20" s="6"/>
      <c r="K20" s="6"/>
      <c r="L20" s="8">
        <v>30</v>
      </c>
      <c r="M20" s="6"/>
      <c r="N20" s="6"/>
      <c r="O20" s="6"/>
      <c r="P20" s="6"/>
      <c r="Q20" s="6"/>
      <c r="R20" s="8">
        <v>0</v>
      </c>
      <c r="S20" s="8">
        <v>0</v>
      </c>
      <c r="T20" s="6"/>
      <c r="U20" s="6"/>
      <c r="V20" s="6"/>
      <c r="W20" s="6"/>
      <c r="X20" s="6"/>
      <c r="Y20" s="6"/>
      <c r="Z20" s="8">
        <v>0</v>
      </c>
      <c r="AA20" s="8">
        <v>0</v>
      </c>
      <c r="AB20" s="6"/>
      <c r="AC20" s="6"/>
      <c r="AD20" s="6"/>
      <c r="AE20" s="6"/>
      <c r="AF20" s="6"/>
      <c r="AG20" s="8">
        <v>0</v>
      </c>
      <c r="AH20" s="8">
        <v>0</v>
      </c>
      <c r="AI20" s="6"/>
      <c r="AJ20" s="8">
        <v>0</v>
      </c>
      <c r="AK20" s="6"/>
      <c r="AL20" s="6"/>
      <c r="AM20" s="6"/>
      <c r="AN20" s="6"/>
      <c r="AO20" s="8">
        <v>0</v>
      </c>
      <c r="AP20" s="8">
        <v>0</v>
      </c>
      <c r="AQ20" s="6"/>
      <c r="AR20" s="6"/>
      <c r="AS20" s="6"/>
      <c r="AT20" s="6"/>
      <c r="AU20" s="8">
        <v>0</v>
      </c>
      <c r="AV20" s="8">
        <v>0</v>
      </c>
      <c r="AW20" s="6"/>
      <c r="AX20" s="6"/>
      <c r="AY20" s="6"/>
      <c r="AZ20" s="6"/>
      <c r="BA20" s="6"/>
      <c r="BB20" s="6"/>
      <c r="BC20" s="6"/>
      <c r="BD20" s="6"/>
      <c r="BE20" s="6"/>
      <c r="BF20" s="6"/>
      <c r="BG20" s="6"/>
      <c r="BH20" s="6"/>
      <c r="BI20" s="6"/>
      <c r="BJ20" s="6"/>
      <c r="BK20" s="6"/>
      <c r="BL20" s="8">
        <v>30</v>
      </c>
      <c r="BM20" s="6"/>
      <c r="BN20" s="6"/>
      <c r="BO20" s="6"/>
      <c r="BP20" s="6"/>
      <c r="BQ20" s="6"/>
      <c r="BR20" s="6"/>
      <c r="BS20" s="6"/>
      <c r="BT20" s="6"/>
      <c r="BU20" s="6"/>
      <c r="BV20" s="6"/>
      <c r="BW20" s="6"/>
      <c r="BX20" s="6"/>
      <c r="BY20" s="6"/>
      <c r="BZ20" s="6"/>
      <c r="CA20" s="6"/>
      <c r="CB20" s="6"/>
      <c r="CC20" s="6"/>
      <c r="CD20" s="6"/>
      <c r="CE20" s="6"/>
      <c r="CF20" s="6"/>
      <c r="CG20" s="9">
        <v>30</v>
      </c>
    </row>
    <row r="21" spans="1:85" x14ac:dyDescent="0.3">
      <c r="A21" s="3" t="str">
        <f t="shared" si="2"/>
        <v>ADDDiscoveryBig IdeasWindows on the Universe (WoU)</v>
      </c>
      <c r="B21" s="6" t="s">
        <v>81</v>
      </c>
      <c r="C21" s="6" t="s">
        <v>82</v>
      </c>
      <c r="D21" s="6" t="s">
        <v>86</v>
      </c>
      <c r="E21" s="6" t="s">
        <v>96</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8">
        <v>30</v>
      </c>
      <c r="AN21" s="6"/>
      <c r="AO21" s="6"/>
      <c r="AP21" s="8">
        <v>30</v>
      </c>
      <c r="AQ21" s="6"/>
      <c r="AR21" s="6"/>
      <c r="AS21" s="6"/>
      <c r="AT21" s="6"/>
      <c r="AU21" s="6"/>
      <c r="AV21" s="6"/>
      <c r="AW21" s="6"/>
      <c r="AX21" s="6"/>
      <c r="AY21" s="6"/>
      <c r="AZ21" s="6"/>
      <c r="BA21" s="6"/>
      <c r="BB21" s="6"/>
      <c r="BC21" s="6"/>
      <c r="BD21" s="6"/>
      <c r="BE21" s="6"/>
      <c r="BF21" s="6"/>
      <c r="BG21" s="6"/>
      <c r="BH21" s="6"/>
      <c r="BI21" s="6"/>
      <c r="BJ21" s="6"/>
      <c r="BK21" s="6"/>
      <c r="BL21" s="8">
        <v>30</v>
      </c>
      <c r="BM21" s="6"/>
      <c r="BN21" s="6"/>
      <c r="BO21" s="6"/>
      <c r="BP21" s="6"/>
      <c r="BQ21" s="6"/>
      <c r="BR21" s="6"/>
      <c r="BS21" s="6"/>
      <c r="BT21" s="6"/>
      <c r="BU21" s="6"/>
      <c r="BV21" s="6"/>
      <c r="BW21" s="6"/>
      <c r="BX21" s="6"/>
      <c r="BY21" s="6"/>
      <c r="BZ21" s="6"/>
      <c r="CA21" s="6"/>
      <c r="CB21" s="6"/>
      <c r="CC21" s="6"/>
      <c r="CD21" s="6"/>
      <c r="CE21" s="6"/>
      <c r="CF21" s="6"/>
      <c r="CG21" s="9">
        <v>30</v>
      </c>
    </row>
    <row r="22" spans="1:85" x14ac:dyDescent="0.3">
      <c r="A22" s="3" t="str">
        <f t="shared" si="2"/>
        <v>ADDDiscoveryBiology Integration Institutes (BII)Total</v>
      </c>
      <c r="B22" s="6" t="s">
        <v>81</v>
      </c>
      <c r="C22" s="6" t="s">
        <v>82</v>
      </c>
      <c r="D22" s="6" t="s">
        <v>97</v>
      </c>
      <c r="E22" s="6" t="s">
        <v>24</v>
      </c>
      <c r="F22" s="8">
        <v>37</v>
      </c>
      <c r="G22" s="6"/>
      <c r="H22" s="8">
        <v>12.5</v>
      </c>
      <c r="I22" s="6"/>
      <c r="J22" s="6"/>
      <c r="K22" s="6"/>
      <c r="L22" s="8">
        <v>49.5</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8">
        <v>49.5</v>
      </c>
      <c r="BM22" s="6"/>
      <c r="BN22" s="6"/>
      <c r="BO22" s="6"/>
      <c r="BP22" s="6"/>
      <c r="BQ22" s="6"/>
      <c r="BR22" s="6"/>
      <c r="BS22" s="6"/>
      <c r="BT22" s="6"/>
      <c r="BU22" s="6"/>
      <c r="BV22" s="6"/>
      <c r="BW22" s="6"/>
      <c r="BX22" s="6"/>
      <c r="BY22" s="6"/>
      <c r="BZ22" s="6"/>
      <c r="CA22" s="6"/>
      <c r="CB22" s="6"/>
      <c r="CC22" s="6"/>
      <c r="CD22" s="6"/>
      <c r="CE22" s="6"/>
      <c r="CF22" s="6"/>
      <c r="CG22" s="9">
        <v>49.5</v>
      </c>
    </row>
    <row r="23" spans="1:85" x14ac:dyDescent="0.3">
      <c r="A23" s="3" t="str">
        <f t="shared" si="2"/>
        <v>ADDDiscoveryCenters for Analysis &amp; SynthesisTotal</v>
      </c>
      <c r="B23" s="6" t="s">
        <v>81</v>
      </c>
      <c r="C23" s="6" t="s">
        <v>82</v>
      </c>
      <c r="D23" s="6" t="s">
        <v>99</v>
      </c>
      <c r="E23" s="6" t="s">
        <v>24</v>
      </c>
      <c r="F23" s="8">
        <v>3</v>
      </c>
      <c r="G23" s="6"/>
      <c r="H23" s="8">
        <v>2</v>
      </c>
      <c r="I23" s="8">
        <v>0</v>
      </c>
      <c r="J23" s="6"/>
      <c r="K23" s="6"/>
      <c r="L23" s="8">
        <v>5</v>
      </c>
      <c r="M23" s="6"/>
      <c r="N23" s="6"/>
      <c r="O23" s="6"/>
      <c r="P23" s="6"/>
      <c r="Q23" s="6"/>
      <c r="R23" s="6"/>
      <c r="S23" s="6"/>
      <c r="T23" s="6"/>
      <c r="U23" s="6"/>
      <c r="V23" s="6"/>
      <c r="W23" s="6"/>
      <c r="X23" s="6"/>
      <c r="Y23" s="6"/>
      <c r="Z23" s="6"/>
      <c r="AA23" s="6"/>
      <c r="AB23" s="6"/>
      <c r="AC23" s="6"/>
      <c r="AD23" s="6"/>
      <c r="AE23" s="6"/>
      <c r="AF23" s="6"/>
      <c r="AG23" s="6"/>
      <c r="AH23" s="6"/>
      <c r="AI23" s="6"/>
      <c r="AJ23" s="6"/>
      <c r="AK23" s="6"/>
      <c r="AL23" s="8">
        <v>0</v>
      </c>
      <c r="AM23" s="6"/>
      <c r="AN23" s="6"/>
      <c r="AO23" s="6"/>
      <c r="AP23" s="8">
        <v>0</v>
      </c>
      <c r="AQ23" s="6"/>
      <c r="AR23" s="6"/>
      <c r="AS23" s="6"/>
      <c r="AT23" s="6"/>
      <c r="AU23" s="6"/>
      <c r="AV23" s="6"/>
      <c r="AW23" s="6"/>
      <c r="AX23" s="6"/>
      <c r="AY23" s="6"/>
      <c r="AZ23" s="6"/>
      <c r="BA23" s="6"/>
      <c r="BB23" s="6"/>
      <c r="BC23" s="6"/>
      <c r="BD23" s="6"/>
      <c r="BE23" s="6"/>
      <c r="BF23" s="6"/>
      <c r="BG23" s="6"/>
      <c r="BH23" s="6"/>
      <c r="BI23" s="6"/>
      <c r="BJ23" s="6"/>
      <c r="BK23" s="6"/>
      <c r="BL23" s="8">
        <v>5</v>
      </c>
      <c r="BM23" s="6"/>
      <c r="BN23" s="6"/>
      <c r="BO23" s="6"/>
      <c r="BP23" s="6"/>
      <c r="BQ23" s="6"/>
      <c r="BR23" s="6"/>
      <c r="BS23" s="6"/>
      <c r="BT23" s="6"/>
      <c r="BU23" s="6"/>
      <c r="BV23" s="6"/>
      <c r="BW23" s="6"/>
      <c r="BX23" s="6"/>
      <c r="BY23" s="6"/>
      <c r="BZ23" s="6"/>
      <c r="CA23" s="6"/>
      <c r="CB23" s="6"/>
      <c r="CC23" s="6"/>
      <c r="CD23" s="6"/>
      <c r="CE23" s="6"/>
      <c r="CF23" s="6"/>
      <c r="CG23" s="9">
        <v>5</v>
      </c>
    </row>
    <row r="24" spans="1:85" x14ac:dyDescent="0.3">
      <c r="A24" s="3" t="str">
        <f t="shared" si="2"/>
        <v>ADDDiscoveryCenters for Chemical Innovation (CCI)Total</v>
      </c>
      <c r="B24" s="6" t="s">
        <v>81</v>
      </c>
      <c r="C24" s="6" t="s">
        <v>82</v>
      </c>
      <c r="D24" s="6" t="s">
        <v>100</v>
      </c>
      <c r="E24" s="6" t="s">
        <v>24</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8">
        <v>27.7</v>
      </c>
      <c r="AK24" s="6"/>
      <c r="AL24" s="6"/>
      <c r="AM24" s="8">
        <v>0</v>
      </c>
      <c r="AN24" s="6"/>
      <c r="AO24" s="6"/>
      <c r="AP24" s="8">
        <v>27.7</v>
      </c>
      <c r="AQ24" s="6"/>
      <c r="AR24" s="6"/>
      <c r="AS24" s="6"/>
      <c r="AT24" s="6"/>
      <c r="AU24" s="6"/>
      <c r="AV24" s="6"/>
      <c r="AW24" s="6"/>
      <c r="AX24" s="6"/>
      <c r="AY24" s="6"/>
      <c r="AZ24" s="6"/>
      <c r="BA24" s="6"/>
      <c r="BB24" s="6"/>
      <c r="BC24" s="6"/>
      <c r="BD24" s="6"/>
      <c r="BE24" s="6"/>
      <c r="BF24" s="6"/>
      <c r="BG24" s="6"/>
      <c r="BH24" s="6"/>
      <c r="BI24" s="6"/>
      <c r="BJ24" s="6"/>
      <c r="BK24" s="6"/>
      <c r="BL24" s="8">
        <v>27.7</v>
      </c>
      <c r="BM24" s="6"/>
      <c r="BN24" s="6"/>
      <c r="BO24" s="6"/>
      <c r="BP24" s="6"/>
      <c r="BQ24" s="6"/>
      <c r="BR24" s="6"/>
      <c r="BS24" s="6"/>
      <c r="BT24" s="6"/>
      <c r="BU24" s="6"/>
      <c r="BV24" s="6"/>
      <c r="BW24" s="6"/>
      <c r="BX24" s="6"/>
      <c r="BY24" s="6"/>
      <c r="BZ24" s="6"/>
      <c r="CA24" s="6"/>
      <c r="CB24" s="6"/>
      <c r="CC24" s="6"/>
      <c r="CD24" s="6"/>
      <c r="CE24" s="6"/>
      <c r="CF24" s="6"/>
      <c r="CG24" s="9">
        <v>27.7</v>
      </c>
    </row>
    <row r="25" spans="1:85" x14ac:dyDescent="0.3">
      <c r="A25" s="3" t="str">
        <f t="shared" si="2"/>
        <v>ADDDiscoveryCenters of Research Excellence in Science &amp; Technology (CREST)Total</v>
      </c>
      <c r="B25" s="6" t="s">
        <v>81</v>
      </c>
      <c r="C25" s="6" t="s">
        <v>82</v>
      </c>
      <c r="D25" s="6" t="s">
        <v>101</v>
      </c>
      <c r="E25" s="6" t="s">
        <v>24</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8">
        <v>41</v>
      </c>
      <c r="BQ25" s="6"/>
      <c r="BR25" s="8">
        <v>41</v>
      </c>
      <c r="BS25" s="8">
        <v>41</v>
      </c>
      <c r="BT25" s="6"/>
      <c r="BU25" s="6"/>
      <c r="BV25" s="6"/>
      <c r="BW25" s="6"/>
      <c r="BX25" s="6"/>
      <c r="BY25" s="6"/>
      <c r="BZ25" s="6"/>
      <c r="CA25" s="6"/>
      <c r="CB25" s="6"/>
      <c r="CC25" s="6"/>
      <c r="CD25" s="6"/>
      <c r="CE25" s="6"/>
      <c r="CF25" s="6"/>
      <c r="CG25" s="9">
        <v>41</v>
      </c>
    </row>
    <row r="26" spans="1:85" x14ac:dyDescent="0.3">
      <c r="A26" s="3" t="str">
        <f t="shared" si="2"/>
        <v>ADDDiscoveryConvergence Accelerator ResearchTotal</v>
      </c>
      <c r="B26" s="6" t="s">
        <v>81</v>
      </c>
      <c r="C26" s="6" t="s">
        <v>82</v>
      </c>
      <c r="D26" s="6" t="s">
        <v>102</v>
      </c>
      <c r="E26" s="6" t="s">
        <v>24</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8">
        <v>70</v>
      </c>
      <c r="AX26" s="6"/>
      <c r="AY26" s="6"/>
      <c r="AZ26" s="6"/>
      <c r="BA26" s="6"/>
      <c r="BB26" s="8">
        <v>70</v>
      </c>
      <c r="BC26" s="6"/>
      <c r="BD26" s="6"/>
      <c r="BE26" s="6"/>
      <c r="BF26" s="6"/>
      <c r="BG26" s="6"/>
      <c r="BH26" s="6"/>
      <c r="BI26" s="6"/>
      <c r="BJ26" s="6"/>
      <c r="BK26" s="6"/>
      <c r="BL26" s="8">
        <v>70</v>
      </c>
      <c r="BM26" s="6"/>
      <c r="BN26" s="6"/>
      <c r="BO26" s="6"/>
      <c r="BP26" s="6"/>
      <c r="BQ26" s="6"/>
      <c r="BR26" s="6"/>
      <c r="BS26" s="6"/>
      <c r="BT26" s="6"/>
      <c r="BU26" s="6"/>
      <c r="BV26" s="6"/>
      <c r="BW26" s="6"/>
      <c r="BX26" s="6"/>
      <c r="BY26" s="6"/>
      <c r="BZ26" s="6"/>
      <c r="CA26" s="6"/>
      <c r="CB26" s="6"/>
      <c r="CC26" s="6"/>
      <c r="CD26" s="6"/>
      <c r="CE26" s="6"/>
      <c r="CF26" s="6"/>
      <c r="CG26" s="9">
        <v>70</v>
      </c>
    </row>
    <row r="27" spans="1:85" x14ac:dyDescent="0.3">
      <c r="A27" s="3" t="str">
        <f t="shared" si="2"/>
        <v>ADDDiscoveryDisciplinary &amp; Interdisciplinary ResearchTotal</v>
      </c>
      <c r="B27" s="6" t="s">
        <v>81</v>
      </c>
      <c r="C27" s="6" t="s">
        <v>82</v>
      </c>
      <c r="D27" s="6" t="s">
        <v>103</v>
      </c>
      <c r="E27" s="6" t="s">
        <v>24</v>
      </c>
      <c r="F27" s="8">
        <v>18</v>
      </c>
      <c r="G27" s="8">
        <v>157.28</v>
      </c>
      <c r="H27" s="8">
        <v>70.64</v>
      </c>
      <c r="I27" s="8">
        <v>194.54</v>
      </c>
      <c r="J27" s="8">
        <v>156.38999999999999</v>
      </c>
      <c r="K27" s="6"/>
      <c r="L27" s="8">
        <v>596.85</v>
      </c>
      <c r="M27" s="8">
        <v>195.33</v>
      </c>
      <c r="N27" s="8">
        <v>212.43</v>
      </c>
      <c r="O27" s="8">
        <v>215.88</v>
      </c>
      <c r="P27" s="8">
        <v>99.16</v>
      </c>
      <c r="Q27" s="8">
        <v>85.92</v>
      </c>
      <c r="R27" s="6"/>
      <c r="S27" s="8">
        <v>808.72</v>
      </c>
      <c r="T27" s="8">
        <v>207.53</v>
      </c>
      <c r="U27" s="8">
        <v>230.59</v>
      </c>
      <c r="V27" s="8">
        <v>122.56</v>
      </c>
      <c r="W27" s="8">
        <v>32.22</v>
      </c>
      <c r="X27" s="8">
        <v>133.91999999999999</v>
      </c>
      <c r="Y27" s="8">
        <v>0</v>
      </c>
      <c r="Z27" s="6"/>
      <c r="AA27" s="8">
        <v>726.82</v>
      </c>
      <c r="AB27" s="8">
        <v>133.66999999999999</v>
      </c>
      <c r="AC27" s="8">
        <v>129.81</v>
      </c>
      <c r="AD27" s="8">
        <v>168.39</v>
      </c>
      <c r="AE27" s="8">
        <v>113.22</v>
      </c>
      <c r="AF27" s="8">
        <v>252.42</v>
      </c>
      <c r="AG27" s="6"/>
      <c r="AH27" s="8">
        <v>797.51</v>
      </c>
      <c r="AI27" s="8">
        <v>68.44</v>
      </c>
      <c r="AJ27" s="8">
        <v>235.62</v>
      </c>
      <c r="AK27" s="8">
        <v>206.79</v>
      </c>
      <c r="AL27" s="8">
        <v>240.02</v>
      </c>
      <c r="AM27" s="8">
        <v>119.157</v>
      </c>
      <c r="AN27" s="8">
        <v>209.47</v>
      </c>
      <c r="AO27" s="6"/>
      <c r="AP27" s="8">
        <v>1079.4970000000001</v>
      </c>
      <c r="AQ27" s="8">
        <v>104.83</v>
      </c>
      <c r="AR27" s="6"/>
      <c r="AS27" s="8">
        <v>13.945</v>
      </c>
      <c r="AT27" s="8">
        <v>105.38</v>
      </c>
      <c r="AU27" s="6"/>
      <c r="AV27" s="8">
        <v>224.155</v>
      </c>
      <c r="AW27" s="8">
        <v>26.45</v>
      </c>
      <c r="AX27" s="8">
        <v>50.24</v>
      </c>
      <c r="AY27" s="8">
        <v>73.209999999999994</v>
      </c>
      <c r="AZ27" s="8">
        <v>47.27</v>
      </c>
      <c r="BA27" s="6"/>
      <c r="BB27" s="8">
        <v>197.17</v>
      </c>
      <c r="BC27" s="8">
        <v>62.15</v>
      </c>
      <c r="BD27" s="8">
        <v>62.15</v>
      </c>
      <c r="BE27" s="6"/>
      <c r="BF27" s="6"/>
      <c r="BG27" s="6"/>
      <c r="BH27" s="8">
        <v>1.72</v>
      </c>
      <c r="BI27" s="8">
        <v>1.72</v>
      </c>
      <c r="BJ27" s="6"/>
      <c r="BK27" s="6"/>
      <c r="BL27" s="8">
        <v>4494.5919999999996</v>
      </c>
      <c r="BM27" s="8">
        <v>21.11</v>
      </c>
      <c r="BN27" s="8">
        <v>38.99</v>
      </c>
      <c r="BO27" s="8">
        <v>23.85</v>
      </c>
      <c r="BP27" s="8">
        <v>17.989999999999998</v>
      </c>
      <c r="BQ27" s="6"/>
      <c r="BR27" s="8">
        <v>101.94</v>
      </c>
      <c r="BS27" s="8">
        <v>101.94</v>
      </c>
      <c r="BT27" s="6"/>
      <c r="BU27" s="6"/>
      <c r="BV27" s="6"/>
      <c r="BW27" s="6"/>
      <c r="BX27" s="6"/>
      <c r="BY27" s="6"/>
      <c r="BZ27" s="6"/>
      <c r="CA27" s="6"/>
      <c r="CB27" s="6"/>
      <c r="CC27" s="6"/>
      <c r="CD27" s="6"/>
      <c r="CE27" s="6"/>
      <c r="CF27" s="6"/>
      <c r="CG27" s="9">
        <v>4596.5320000000002</v>
      </c>
    </row>
    <row r="28" spans="1:85" x14ac:dyDescent="0.3">
      <c r="A28" s="3" t="str">
        <f t="shared" si="2"/>
        <v>ADDDiscoveryDiscovery Research PreK-12 (DRK-12)Total</v>
      </c>
      <c r="B28" s="6" t="s">
        <v>81</v>
      </c>
      <c r="C28" s="6" t="s">
        <v>82</v>
      </c>
      <c r="D28" s="6" t="s">
        <v>104</v>
      </c>
      <c r="E28" s="6" t="s">
        <v>24</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8">
        <v>99.5</v>
      </c>
      <c r="BO28" s="6"/>
      <c r="BP28" s="6"/>
      <c r="BQ28" s="6"/>
      <c r="BR28" s="8">
        <v>99.5</v>
      </c>
      <c r="BS28" s="8">
        <v>99.5</v>
      </c>
      <c r="BT28" s="6"/>
      <c r="BU28" s="6"/>
      <c r="BV28" s="6"/>
      <c r="BW28" s="6"/>
      <c r="BX28" s="6"/>
      <c r="BY28" s="6"/>
      <c r="BZ28" s="6"/>
      <c r="CA28" s="6"/>
      <c r="CB28" s="6"/>
      <c r="CC28" s="6"/>
      <c r="CD28" s="6"/>
      <c r="CE28" s="6"/>
      <c r="CF28" s="6"/>
      <c r="CG28" s="9">
        <v>99.5</v>
      </c>
    </row>
    <row r="29" spans="1:85" x14ac:dyDescent="0.3">
      <c r="A29" s="3" t="str">
        <f t="shared" si="2"/>
        <v>ADDDiscoveryDiscovery Stewardship OffsetTotal</v>
      </c>
      <c r="B29" s="6" t="s">
        <v>81</v>
      </c>
      <c r="C29" s="6" t="s">
        <v>82</v>
      </c>
      <c r="D29" s="6" t="s">
        <v>105</v>
      </c>
      <c r="E29" s="6" t="s">
        <v>24</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8">
        <v>-4.49</v>
      </c>
      <c r="BF29" s="8">
        <v>-2.4700000000000002</v>
      </c>
      <c r="BG29" s="8">
        <v>-6.96</v>
      </c>
      <c r="BH29" s="6"/>
      <c r="BI29" s="6"/>
      <c r="BJ29" s="6"/>
      <c r="BK29" s="6"/>
      <c r="BL29" s="8">
        <v>-6.96</v>
      </c>
      <c r="BM29" s="6"/>
      <c r="BN29" s="6"/>
      <c r="BO29" s="6"/>
      <c r="BP29" s="6"/>
      <c r="BQ29" s="8">
        <v>-11.64</v>
      </c>
      <c r="BR29" s="8">
        <v>-11.64</v>
      </c>
      <c r="BS29" s="8">
        <v>-11.64</v>
      </c>
      <c r="BT29" s="6"/>
      <c r="BU29" s="6"/>
      <c r="BV29" s="6"/>
      <c r="BW29" s="6"/>
      <c r="BX29" s="6"/>
      <c r="BY29" s="6"/>
      <c r="BZ29" s="6"/>
      <c r="CA29" s="6"/>
      <c r="CB29" s="6"/>
      <c r="CC29" s="6"/>
      <c r="CD29" s="6"/>
      <c r="CE29" s="6"/>
      <c r="CF29" s="6"/>
      <c r="CG29" s="9">
        <v>-18.600000000000001</v>
      </c>
    </row>
    <row r="30" spans="1:85" x14ac:dyDescent="0.3">
      <c r="A30" s="3" t="str">
        <f t="shared" si="2"/>
        <v>ADDDiscoveryEngineering Research Centers (ERC)Total</v>
      </c>
      <c r="B30" s="6" t="s">
        <v>81</v>
      </c>
      <c r="C30" s="6" t="s">
        <v>82</v>
      </c>
      <c r="D30" s="6" t="s">
        <v>106</v>
      </c>
      <c r="E30" s="6" t="s">
        <v>24</v>
      </c>
      <c r="F30" s="6"/>
      <c r="G30" s="6"/>
      <c r="H30" s="6"/>
      <c r="I30" s="6"/>
      <c r="J30" s="6"/>
      <c r="K30" s="6"/>
      <c r="L30" s="6"/>
      <c r="M30" s="6"/>
      <c r="N30" s="6"/>
      <c r="O30" s="6"/>
      <c r="P30" s="6"/>
      <c r="Q30" s="6"/>
      <c r="R30" s="6"/>
      <c r="S30" s="6"/>
      <c r="T30" s="6"/>
      <c r="U30" s="6"/>
      <c r="V30" s="6"/>
      <c r="W30" s="8">
        <v>71.5</v>
      </c>
      <c r="X30" s="6"/>
      <c r="Y30" s="6"/>
      <c r="Z30" s="6"/>
      <c r="AA30" s="8">
        <v>71.5</v>
      </c>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8">
        <v>71.5</v>
      </c>
      <c r="BM30" s="6"/>
      <c r="BN30" s="6"/>
      <c r="BO30" s="6"/>
      <c r="BP30" s="6"/>
      <c r="BQ30" s="6"/>
      <c r="BR30" s="6"/>
      <c r="BS30" s="6"/>
      <c r="BT30" s="6"/>
      <c r="BU30" s="6"/>
      <c r="BV30" s="6"/>
      <c r="BW30" s="6"/>
      <c r="BX30" s="6"/>
      <c r="BY30" s="6"/>
      <c r="BZ30" s="6"/>
      <c r="CA30" s="6"/>
      <c r="CB30" s="6"/>
      <c r="CC30" s="6"/>
      <c r="CD30" s="6"/>
      <c r="CE30" s="6"/>
      <c r="CF30" s="6"/>
      <c r="CG30" s="9">
        <v>71.5</v>
      </c>
    </row>
    <row r="31" spans="1:85" x14ac:dyDescent="0.3">
      <c r="A31" s="3" t="str">
        <f t="shared" si="2"/>
        <v>ADDDiscoveryEPSCoRTotal</v>
      </c>
      <c r="B31" s="6" t="s">
        <v>81</v>
      </c>
      <c r="C31" s="6" t="s">
        <v>82</v>
      </c>
      <c r="D31" s="6" t="s">
        <v>14</v>
      </c>
      <c r="E31" s="6" t="s">
        <v>24</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8">
        <v>247.25</v>
      </c>
      <c r="BF31" s="8">
        <v>0</v>
      </c>
      <c r="BG31" s="8">
        <v>247.25</v>
      </c>
      <c r="BH31" s="6"/>
      <c r="BI31" s="6"/>
      <c r="BJ31" s="6"/>
      <c r="BK31" s="6"/>
      <c r="BL31" s="8">
        <v>247.25</v>
      </c>
      <c r="BM31" s="6"/>
      <c r="BN31" s="6"/>
      <c r="BO31" s="6"/>
      <c r="BP31" s="6"/>
      <c r="BQ31" s="6"/>
      <c r="BR31" s="6"/>
      <c r="BS31" s="6"/>
      <c r="BT31" s="6"/>
      <c r="BU31" s="6"/>
      <c r="BV31" s="6"/>
      <c r="BW31" s="6"/>
      <c r="BX31" s="6"/>
      <c r="BY31" s="6"/>
      <c r="BZ31" s="6"/>
      <c r="CA31" s="6"/>
      <c r="CB31" s="6"/>
      <c r="CC31" s="6"/>
      <c r="CD31" s="6"/>
      <c r="CE31" s="6"/>
      <c r="CF31" s="6"/>
      <c r="CG31" s="9">
        <v>247.25</v>
      </c>
    </row>
    <row r="32" spans="1:85" x14ac:dyDescent="0.3">
      <c r="A32" s="3" t="str">
        <f t="shared" si="2"/>
        <v>ADDDiscoveryEPSCoREPSCoR Co-Funding</v>
      </c>
      <c r="B32" s="6" t="s">
        <v>81</v>
      </c>
      <c r="C32" s="6" t="s">
        <v>82</v>
      </c>
      <c r="D32" s="6" t="s">
        <v>14</v>
      </c>
      <c r="E32" s="6" t="s">
        <v>107</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8">
        <v>48.21</v>
      </c>
      <c r="BF32" s="8">
        <v>0</v>
      </c>
      <c r="BG32" s="8">
        <v>48.21</v>
      </c>
      <c r="BH32" s="6"/>
      <c r="BI32" s="6"/>
      <c r="BJ32" s="6"/>
      <c r="BK32" s="6"/>
      <c r="BL32" s="8">
        <v>48.21</v>
      </c>
      <c r="BM32" s="6"/>
      <c r="BN32" s="6"/>
      <c r="BO32" s="6"/>
      <c r="BP32" s="6"/>
      <c r="BQ32" s="6"/>
      <c r="BR32" s="6"/>
      <c r="BS32" s="6"/>
      <c r="BT32" s="6"/>
      <c r="BU32" s="6"/>
      <c r="BV32" s="6"/>
      <c r="BW32" s="6"/>
      <c r="BX32" s="6"/>
      <c r="BY32" s="6"/>
      <c r="BZ32" s="6"/>
      <c r="CA32" s="6"/>
      <c r="CB32" s="6"/>
      <c r="CC32" s="6"/>
      <c r="CD32" s="6"/>
      <c r="CE32" s="6"/>
      <c r="CF32" s="6"/>
      <c r="CG32" s="9">
        <v>48.21</v>
      </c>
    </row>
    <row r="33" spans="1:85" x14ac:dyDescent="0.3">
      <c r="A33" s="3" t="str">
        <f t="shared" si="2"/>
        <v>ADDDiscoveryEPSCoREPSCoR Outreach</v>
      </c>
      <c r="B33" s="6" t="s">
        <v>81</v>
      </c>
      <c r="C33" s="6" t="s">
        <v>82</v>
      </c>
      <c r="D33" s="6" t="s">
        <v>14</v>
      </c>
      <c r="E33" s="6" t="s">
        <v>108</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8">
        <v>1.35</v>
      </c>
      <c r="BF33" s="8">
        <v>0</v>
      </c>
      <c r="BG33" s="8">
        <v>1.35</v>
      </c>
      <c r="BH33" s="6"/>
      <c r="BI33" s="6"/>
      <c r="BJ33" s="6"/>
      <c r="BK33" s="6"/>
      <c r="BL33" s="8">
        <v>1.35</v>
      </c>
      <c r="BM33" s="6"/>
      <c r="BN33" s="6"/>
      <c r="BO33" s="6"/>
      <c r="BP33" s="6"/>
      <c r="BQ33" s="6"/>
      <c r="BR33" s="6"/>
      <c r="BS33" s="6"/>
      <c r="BT33" s="6"/>
      <c r="BU33" s="6"/>
      <c r="BV33" s="6"/>
      <c r="BW33" s="6"/>
      <c r="BX33" s="6"/>
      <c r="BY33" s="6"/>
      <c r="BZ33" s="6"/>
      <c r="CA33" s="6"/>
      <c r="CB33" s="6"/>
      <c r="CC33" s="6"/>
      <c r="CD33" s="6"/>
      <c r="CE33" s="6"/>
      <c r="CF33" s="6"/>
      <c r="CG33" s="9">
        <v>1.35</v>
      </c>
    </row>
    <row r="34" spans="1:85" x14ac:dyDescent="0.3">
      <c r="A34" s="3" t="str">
        <f t="shared" si="2"/>
        <v>ADDDiscoveryEPSCoREPSCoR Research Infrastructure Improvement (RII)</v>
      </c>
      <c r="B34" s="6" t="s">
        <v>81</v>
      </c>
      <c r="C34" s="6" t="s">
        <v>82</v>
      </c>
      <c r="D34" s="6" t="s">
        <v>14</v>
      </c>
      <c r="E34" s="6" t="s">
        <v>109</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8">
        <v>197.69</v>
      </c>
      <c r="BF34" s="8">
        <v>0</v>
      </c>
      <c r="BG34" s="8">
        <v>197.69</v>
      </c>
      <c r="BH34" s="6"/>
      <c r="BI34" s="6"/>
      <c r="BJ34" s="6"/>
      <c r="BK34" s="6"/>
      <c r="BL34" s="8">
        <v>197.69</v>
      </c>
      <c r="BM34" s="6"/>
      <c r="BN34" s="6"/>
      <c r="BO34" s="6"/>
      <c r="BP34" s="6"/>
      <c r="BQ34" s="6"/>
      <c r="BR34" s="6"/>
      <c r="BS34" s="6"/>
      <c r="BT34" s="6"/>
      <c r="BU34" s="6"/>
      <c r="BV34" s="6"/>
      <c r="BW34" s="6"/>
      <c r="BX34" s="6"/>
      <c r="BY34" s="6"/>
      <c r="BZ34" s="6"/>
      <c r="CA34" s="6"/>
      <c r="CB34" s="6"/>
      <c r="CC34" s="6"/>
      <c r="CD34" s="6"/>
      <c r="CE34" s="6"/>
      <c r="CF34" s="6"/>
      <c r="CG34" s="9">
        <v>197.69</v>
      </c>
    </row>
    <row r="35" spans="1:85" x14ac:dyDescent="0.3">
      <c r="A35" s="3" t="str">
        <f t="shared" si="2"/>
        <v>ADDDiscoveryFacility Operation TransitionTotal</v>
      </c>
      <c r="B35" s="6" t="s">
        <v>81</v>
      </c>
      <c r="C35" s="6" t="s">
        <v>82</v>
      </c>
      <c r="D35" s="6" t="s">
        <v>347</v>
      </c>
      <c r="E35" s="6" t="s">
        <v>24</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8">
        <v>12</v>
      </c>
      <c r="BG35" s="8">
        <v>12</v>
      </c>
      <c r="BH35" s="6"/>
      <c r="BI35" s="6"/>
      <c r="BJ35" s="6"/>
      <c r="BK35" s="6"/>
      <c r="BL35" s="8">
        <v>12</v>
      </c>
      <c r="BM35" s="6"/>
      <c r="BN35" s="6"/>
      <c r="BO35" s="6"/>
      <c r="BP35" s="6"/>
      <c r="BQ35" s="6"/>
      <c r="BR35" s="6"/>
      <c r="BS35" s="6"/>
      <c r="BT35" s="6"/>
      <c r="BU35" s="6"/>
      <c r="BV35" s="6"/>
      <c r="BW35" s="6"/>
      <c r="BX35" s="6"/>
      <c r="BY35" s="6"/>
      <c r="BZ35" s="6"/>
      <c r="CA35" s="6"/>
      <c r="CB35" s="6"/>
      <c r="CC35" s="6"/>
      <c r="CD35" s="6"/>
      <c r="CE35" s="6"/>
      <c r="CF35" s="6"/>
      <c r="CG35" s="9">
        <v>12</v>
      </c>
    </row>
    <row r="36" spans="1:85" x14ac:dyDescent="0.3">
      <c r="A36" s="3" t="str">
        <f t="shared" si="2"/>
        <v>ADDDiscoveryGrowing Resrch Access for Nationally Transformative Equity &amp; Diversity (GRANTED)Total</v>
      </c>
      <c r="B36" s="6" t="s">
        <v>81</v>
      </c>
      <c r="C36" s="6" t="s">
        <v>82</v>
      </c>
      <c r="D36" s="6" t="s">
        <v>348</v>
      </c>
      <c r="E36" s="6" t="s">
        <v>24</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8">
        <v>50</v>
      </c>
      <c r="BG36" s="8">
        <v>50</v>
      </c>
      <c r="BH36" s="6"/>
      <c r="BI36" s="6"/>
      <c r="BJ36" s="6"/>
      <c r="BK36" s="6"/>
      <c r="BL36" s="8">
        <v>50</v>
      </c>
      <c r="BM36" s="6"/>
      <c r="BN36" s="6"/>
      <c r="BO36" s="6"/>
      <c r="BP36" s="6"/>
      <c r="BQ36" s="6"/>
      <c r="BR36" s="6"/>
      <c r="BS36" s="6"/>
      <c r="BT36" s="6"/>
      <c r="BU36" s="6"/>
      <c r="BV36" s="6"/>
      <c r="BW36" s="6"/>
      <c r="BX36" s="6"/>
      <c r="BY36" s="6"/>
      <c r="BZ36" s="6"/>
      <c r="CA36" s="6"/>
      <c r="CB36" s="6"/>
      <c r="CC36" s="6"/>
      <c r="CD36" s="6"/>
      <c r="CE36" s="6"/>
      <c r="CF36" s="6"/>
      <c r="CG36" s="9">
        <v>50</v>
      </c>
    </row>
    <row r="37" spans="1:85" x14ac:dyDescent="0.3">
      <c r="A37" s="3" t="str">
        <f t="shared" si="2"/>
        <v>ADDDiscoveryHBCU Excellence in ResearchTotal</v>
      </c>
      <c r="B37" s="6" t="s">
        <v>81</v>
      </c>
      <c r="C37" s="6" t="s">
        <v>82</v>
      </c>
      <c r="D37" s="6" t="s">
        <v>110</v>
      </c>
      <c r="E37" s="6" t="s">
        <v>24</v>
      </c>
      <c r="F37" s="8">
        <v>0</v>
      </c>
      <c r="G37" s="6"/>
      <c r="H37" s="8">
        <v>0</v>
      </c>
      <c r="I37" s="6"/>
      <c r="J37" s="6"/>
      <c r="K37" s="6"/>
      <c r="L37" s="8">
        <v>0</v>
      </c>
      <c r="M37" s="8">
        <v>0</v>
      </c>
      <c r="N37" s="8">
        <v>0</v>
      </c>
      <c r="O37" s="8">
        <v>0</v>
      </c>
      <c r="P37" s="8">
        <v>0</v>
      </c>
      <c r="Q37" s="8">
        <v>0</v>
      </c>
      <c r="R37" s="6"/>
      <c r="S37" s="8">
        <v>0</v>
      </c>
      <c r="T37" s="6"/>
      <c r="U37" s="6"/>
      <c r="V37" s="6"/>
      <c r="W37" s="8">
        <v>0</v>
      </c>
      <c r="X37" s="6"/>
      <c r="Y37" s="6"/>
      <c r="Z37" s="6"/>
      <c r="AA37" s="8">
        <v>0</v>
      </c>
      <c r="AB37" s="6"/>
      <c r="AC37" s="6"/>
      <c r="AD37" s="6"/>
      <c r="AE37" s="8">
        <v>0</v>
      </c>
      <c r="AF37" s="6"/>
      <c r="AG37" s="6"/>
      <c r="AH37" s="8">
        <v>0</v>
      </c>
      <c r="AI37" s="6"/>
      <c r="AJ37" s="6"/>
      <c r="AK37" s="6"/>
      <c r="AL37" s="6"/>
      <c r="AM37" s="8">
        <v>0</v>
      </c>
      <c r="AN37" s="6"/>
      <c r="AO37" s="6"/>
      <c r="AP37" s="8">
        <v>0</v>
      </c>
      <c r="AQ37" s="6"/>
      <c r="AR37" s="6"/>
      <c r="AS37" s="8">
        <v>0</v>
      </c>
      <c r="AT37" s="6"/>
      <c r="AU37" s="6"/>
      <c r="AV37" s="8">
        <v>0</v>
      </c>
      <c r="AW37" s="6"/>
      <c r="AX37" s="6"/>
      <c r="AY37" s="6"/>
      <c r="AZ37" s="6"/>
      <c r="BA37" s="6"/>
      <c r="BB37" s="6"/>
      <c r="BC37" s="6"/>
      <c r="BD37" s="6"/>
      <c r="BE37" s="6"/>
      <c r="BF37" s="8">
        <v>37.93</v>
      </c>
      <c r="BG37" s="8">
        <v>37.93</v>
      </c>
      <c r="BH37" s="6"/>
      <c r="BI37" s="6"/>
      <c r="BJ37" s="6"/>
      <c r="BK37" s="6"/>
      <c r="BL37" s="8">
        <v>37.93</v>
      </c>
      <c r="BM37" s="6"/>
      <c r="BN37" s="6"/>
      <c r="BO37" s="6"/>
      <c r="BP37" s="6"/>
      <c r="BQ37" s="6"/>
      <c r="BR37" s="6"/>
      <c r="BS37" s="6"/>
      <c r="BT37" s="6"/>
      <c r="BU37" s="6"/>
      <c r="BV37" s="6"/>
      <c r="BW37" s="6"/>
      <c r="BX37" s="6"/>
      <c r="BY37" s="6"/>
      <c r="BZ37" s="6"/>
      <c r="CA37" s="6"/>
      <c r="CB37" s="6"/>
      <c r="CC37" s="6"/>
      <c r="CD37" s="6"/>
      <c r="CE37" s="6"/>
      <c r="CF37" s="6"/>
      <c r="CG37" s="9">
        <v>37.93</v>
      </c>
    </row>
    <row r="38" spans="1:85" x14ac:dyDescent="0.3">
      <c r="A38" s="3" t="str">
        <f t="shared" si="2"/>
        <v>ADDDiscoveryHispanic-Serving Institutions Total</v>
      </c>
      <c r="B38" s="6" t="s">
        <v>81</v>
      </c>
      <c r="C38" s="6" t="s">
        <v>82</v>
      </c>
      <c r="D38" s="6" t="s">
        <v>111</v>
      </c>
      <c r="E38" s="6" t="s">
        <v>24</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8">
        <v>30.25</v>
      </c>
      <c r="BP38" s="8">
        <v>30.25</v>
      </c>
      <c r="BQ38" s="6"/>
      <c r="BR38" s="8">
        <v>60.5</v>
      </c>
      <c r="BS38" s="8">
        <v>60.5</v>
      </c>
      <c r="BT38" s="6"/>
      <c r="BU38" s="6"/>
      <c r="BV38" s="6"/>
      <c r="BW38" s="6"/>
      <c r="BX38" s="6"/>
      <c r="BY38" s="6"/>
      <c r="BZ38" s="6"/>
      <c r="CA38" s="6"/>
      <c r="CB38" s="6"/>
      <c r="CC38" s="6"/>
      <c r="CD38" s="6"/>
      <c r="CE38" s="6"/>
      <c r="CF38" s="6"/>
      <c r="CG38" s="9">
        <v>60.5</v>
      </c>
    </row>
    <row r="39" spans="1:85" x14ac:dyDescent="0.3">
      <c r="A39" s="3" t="str">
        <f t="shared" si="2"/>
        <v>ADDDiscoveryHistorically Black Colleges &amp; Universities Undergraduate Program (HBCU-UP)Total</v>
      </c>
      <c r="B39" s="6" t="s">
        <v>81</v>
      </c>
      <c r="C39" s="6" t="s">
        <v>82</v>
      </c>
      <c r="D39" s="6" t="s">
        <v>112</v>
      </c>
      <c r="E39" s="6" t="s">
        <v>24</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8">
        <v>48.5</v>
      </c>
      <c r="BQ39" s="6"/>
      <c r="BR39" s="8">
        <v>48.5</v>
      </c>
      <c r="BS39" s="8">
        <v>48.5</v>
      </c>
      <c r="BT39" s="6"/>
      <c r="BU39" s="6"/>
      <c r="BV39" s="6"/>
      <c r="BW39" s="6"/>
      <c r="BX39" s="6"/>
      <c r="BY39" s="6"/>
      <c r="BZ39" s="6"/>
      <c r="CA39" s="6"/>
      <c r="CB39" s="6"/>
      <c r="CC39" s="6"/>
      <c r="CD39" s="6"/>
      <c r="CE39" s="6"/>
      <c r="CF39" s="6"/>
      <c r="CG39" s="9">
        <v>48.5</v>
      </c>
    </row>
    <row r="40" spans="1:85" x14ac:dyDescent="0.3">
      <c r="A40" s="3" t="str">
        <f t="shared" si="2"/>
        <v>ADDDiscoveryImproving Undergraduate STEM Education (IUSE)Total</v>
      </c>
      <c r="B40" s="6" t="s">
        <v>81</v>
      </c>
      <c r="C40" s="6" t="s">
        <v>82</v>
      </c>
      <c r="D40" s="6" t="s">
        <v>113</v>
      </c>
      <c r="E40" s="6" t="s">
        <v>24</v>
      </c>
      <c r="F40" s="8">
        <v>5</v>
      </c>
      <c r="G40" s="6"/>
      <c r="H40" s="6"/>
      <c r="I40" s="6"/>
      <c r="J40" s="6"/>
      <c r="K40" s="6"/>
      <c r="L40" s="8">
        <v>5</v>
      </c>
      <c r="M40" s="6"/>
      <c r="N40" s="8">
        <v>3</v>
      </c>
      <c r="O40" s="6"/>
      <c r="P40" s="6"/>
      <c r="Q40" s="6"/>
      <c r="R40" s="6"/>
      <c r="S40" s="8">
        <v>3</v>
      </c>
      <c r="T40" s="8">
        <v>1</v>
      </c>
      <c r="U40" s="8">
        <v>1</v>
      </c>
      <c r="V40" s="8">
        <v>0.9</v>
      </c>
      <c r="W40" s="8">
        <v>2.25</v>
      </c>
      <c r="X40" s="6"/>
      <c r="Y40" s="8">
        <v>0</v>
      </c>
      <c r="Z40" s="6"/>
      <c r="AA40" s="8">
        <v>5.15</v>
      </c>
      <c r="AB40" s="6"/>
      <c r="AC40" s="6"/>
      <c r="AD40" s="6"/>
      <c r="AE40" s="8">
        <v>0</v>
      </c>
      <c r="AF40" s="6"/>
      <c r="AG40" s="6"/>
      <c r="AH40" s="8">
        <v>0</v>
      </c>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8">
        <v>13.15</v>
      </c>
      <c r="BM40" s="6"/>
      <c r="BN40" s="6"/>
      <c r="BO40" s="8">
        <v>95.5</v>
      </c>
      <c r="BP40" s="6"/>
      <c r="BQ40" s="6"/>
      <c r="BR40" s="8">
        <v>95.5</v>
      </c>
      <c r="BS40" s="8">
        <v>95.5</v>
      </c>
      <c r="BT40" s="6"/>
      <c r="BU40" s="6"/>
      <c r="BV40" s="6"/>
      <c r="BW40" s="6"/>
      <c r="BX40" s="6"/>
      <c r="BY40" s="6"/>
      <c r="BZ40" s="6"/>
      <c r="CA40" s="6"/>
      <c r="CB40" s="6"/>
      <c r="CC40" s="6"/>
      <c r="CD40" s="6"/>
      <c r="CE40" s="6"/>
      <c r="CF40" s="6"/>
      <c r="CG40" s="9">
        <v>108.65</v>
      </c>
    </row>
    <row r="41" spans="1:85" x14ac:dyDescent="0.3">
      <c r="A41" s="3" t="str">
        <f t="shared" si="2"/>
        <v>ADDDiscoveryIndustry/University Cooperative Research Centers (I/UCRC)Total</v>
      </c>
      <c r="B41" s="6" t="s">
        <v>81</v>
      </c>
      <c r="C41" s="6" t="s">
        <v>82</v>
      </c>
      <c r="D41" s="6" t="s">
        <v>114</v>
      </c>
      <c r="E41" s="6" t="s">
        <v>24</v>
      </c>
      <c r="F41" s="6"/>
      <c r="G41" s="6"/>
      <c r="H41" s="6"/>
      <c r="I41" s="6"/>
      <c r="J41" s="8">
        <v>0.26</v>
      </c>
      <c r="K41" s="6"/>
      <c r="L41" s="8">
        <v>0.26</v>
      </c>
      <c r="M41" s="6"/>
      <c r="N41" s="6"/>
      <c r="O41" s="6"/>
      <c r="P41" s="8">
        <v>8</v>
      </c>
      <c r="Q41" s="6"/>
      <c r="R41" s="6"/>
      <c r="S41" s="8">
        <v>8</v>
      </c>
      <c r="T41" s="6"/>
      <c r="U41" s="6"/>
      <c r="V41" s="6"/>
      <c r="W41" s="8">
        <v>13.6</v>
      </c>
      <c r="X41" s="6"/>
      <c r="Y41" s="8">
        <v>0</v>
      </c>
      <c r="Z41" s="6"/>
      <c r="AA41" s="8">
        <v>13.6</v>
      </c>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8">
        <v>21.86</v>
      </c>
      <c r="BM41" s="6"/>
      <c r="BN41" s="6"/>
      <c r="BO41" s="6"/>
      <c r="BP41" s="6"/>
      <c r="BQ41" s="6"/>
      <c r="BR41" s="6"/>
      <c r="BS41" s="6"/>
      <c r="BT41" s="6"/>
      <c r="BU41" s="6"/>
      <c r="BV41" s="6"/>
      <c r="BW41" s="6"/>
      <c r="BX41" s="6"/>
      <c r="BY41" s="6"/>
      <c r="BZ41" s="6"/>
      <c r="CA41" s="6"/>
      <c r="CB41" s="6"/>
      <c r="CC41" s="6"/>
      <c r="CD41" s="6"/>
      <c r="CE41" s="6"/>
      <c r="CF41" s="6"/>
      <c r="CG41" s="9">
        <v>21.86</v>
      </c>
    </row>
    <row r="42" spans="1:85" x14ac:dyDescent="0.3">
      <c r="A42" s="3" t="str">
        <f t="shared" si="2"/>
        <v>ADDDiscoveryLong-Term Ecological Research (LTER)Total</v>
      </c>
      <c r="B42" s="6" t="s">
        <v>81</v>
      </c>
      <c r="C42" s="6" t="s">
        <v>82</v>
      </c>
      <c r="D42" s="6" t="s">
        <v>115</v>
      </c>
      <c r="E42" s="6" t="s">
        <v>24</v>
      </c>
      <c r="F42" s="6"/>
      <c r="G42" s="8">
        <v>22.5</v>
      </c>
      <c r="H42" s="6"/>
      <c r="I42" s="6"/>
      <c r="J42" s="6"/>
      <c r="K42" s="6"/>
      <c r="L42" s="8">
        <v>22.5</v>
      </c>
      <c r="M42" s="6"/>
      <c r="N42" s="6"/>
      <c r="O42" s="6"/>
      <c r="P42" s="6"/>
      <c r="Q42" s="6"/>
      <c r="R42" s="6"/>
      <c r="S42" s="6"/>
      <c r="T42" s="6"/>
      <c r="U42" s="6"/>
      <c r="V42" s="6"/>
      <c r="W42" s="6"/>
      <c r="X42" s="6"/>
      <c r="Y42" s="6"/>
      <c r="Z42" s="6"/>
      <c r="AA42" s="6"/>
      <c r="AB42" s="6"/>
      <c r="AC42" s="6"/>
      <c r="AD42" s="8">
        <v>8</v>
      </c>
      <c r="AE42" s="8">
        <v>3.38</v>
      </c>
      <c r="AF42" s="6"/>
      <c r="AG42" s="6"/>
      <c r="AH42" s="8">
        <v>11.38</v>
      </c>
      <c r="AI42" s="6"/>
      <c r="AJ42" s="6"/>
      <c r="AK42" s="6"/>
      <c r="AL42" s="6"/>
      <c r="AM42" s="6"/>
      <c r="AN42" s="6"/>
      <c r="AO42" s="6"/>
      <c r="AP42" s="6"/>
      <c r="AQ42" s="8">
        <v>0.26</v>
      </c>
      <c r="AR42" s="6"/>
      <c r="AS42" s="6"/>
      <c r="AT42" s="6"/>
      <c r="AU42" s="6"/>
      <c r="AV42" s="8">
        <v>0.26</v>
      </c>
      <c r="AW42" s="6"/>
      <c r="AX42" s="6"/>
      <c r="AY42" s="6"/>
      <c r="AZ42" s="6"/>
      <c r="BA42" s="6"/>
      <c r="BB42" s="6"/>
      <c r="BC42" s="6"/>
      <c r="BD42" s="6"/>
      <c r="BE42" s="6"/>
      <c r="BF42" s="6"/>
      <c r="BG42" s="6"/>
      <c r="BH42" s="6"/>
      <c r="BI42" s="6"/>
      <c r="BJ42" s="6"/>
      <c r="BK42" s="6"/>
      <c r="BL42" s="8">
        <v>34.14</v>
      </c>
      <c r="BM42" s="6"/>
      <c r="BN42" s="6"/>
      <c r="BO42" s="6"/>
      <c r="BP42" s="6"/>
      <c r="BQ42" s="6"/>
      <c r="BR42" s="6"/>
      <c r="BS42" s="6"/>
      <c r="BT42" s="6"/>
      <c r="BU42" s="6"/>
      <c r="BV42" s="6"/>
      <c r="BW42" s="6"/>
      <c r="BX42" s="6"/>
      <c r="BY42" s="6"/>
      <c r="BZ42" s="6"/>
      <c r="CA42" s="6"/>
      <c r="CB42" s="6"/>
      <c r="CC42" s="6"/>
      <c r="CD42" s="6"/>
      <c r="CE42" s="6"/>
      <c r="CF42" s="6"/>
      <c r="CG42" s="9">
        <v>34.14</v>
      </c>
    </row>
    <row r="43" spans="1:85" x14ac:dyDescent="0.3">
      <c r="A43" s="3" t="str">
        <f t="shared" si="2"/>
        <v>ADDDiscoveryMaterials CentersTotal</v>
      </c>
      <c r="B43" s="6" t="s">
        <v>81</v>
      </c>
      <c r="C43" s="6" t="s">
        <v>82</v>
      </c>
      <c r="D43" s="6" t="s">
        <v>116</v>
      </c>
      <c r="E43" s="6" t="s">
        <v>24</v>
      </c>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8">
        <v>56.8</v>
      </c>
      <c r="AL43" s="6"/>
      <c r="AM43" s="6"/>
      <c r="AN43" s="6"/>
      <c r="AO43" s="6"/>
      <c r="AP43" s="8">
        <v>56.8</v>
      </c>
      <c r="AQ43" s="6"/>
      <c r="AR43" s="6"/>
      <c r="AS43" s="6"/>
      <c r="AT43" s="6"/>
      <c r="AU43" s="6"/>
      <c r="AV43" s="6"/>
      <c r="AW43" s="6"/>
      <c r="AX43" s="6"/>
      <c r="AY43" s="6"/>
      <c r="AZ43" s="6"/>
      <c r="BA43" s="6"/>
      <c r="BB43" s="6"/>
      <c r="BC43" s="6"/>
      <c r="BD43" s="6"/>
      <c r="BE43" s="6"/>
      <c r="BF43" s="6"/>
      <c r="BG43" s="6"/>
      <c r="BH43" s="6"/>
      <c r="BI43" s="6"/>
      <c r="BJ43" s="6"/>
      <c r="BK43" s="6"/>
      <c r="BL43" s="8">
        <v>56.8</v>
      </c>
      <c r="BM43" s="6"/>
      <c r="BN43" s="6"/>
      <c r="BO43" s="6"/>
      <c r="BP43" s="6"/>
      <c r="BQ43" s="6"/>
      <c r="BR43" s="6"/>
      <c r="BS43" s="6"/>
      <c r="BT43" s="6"/>
      <c r="BU43" s="6"/>
      <c r="BV43" s="6"/>
      <c r="BW43" s="6"/>
      <c r="BX43" s="6"/>
      <c r="BY43" s="6"/>
      <c r="BZ43" s="6"/>
      <c r="CA43" s="6"/>
      <c r="CB43" s="6"/>
      <c r="CC43" s="6"/>
      <c r="CD43" s="6"/>
      <c r="CE43" s="6"/>
      <c r="CF43" s="6"/>
      <c r="CG43" s="9">
        <v>56.8</v>
      </c>
    </row>
    <row r="44" spans="1:85" x14ac:dyDescent="0.3">
      <c r="A44" s="3" t="str">
        <f t="shared" si="2"/>
        <v>ADDDiscoveryNational Center for Wireless Spectrum Research (SII-Center)Total</v>
      </c>
      <c r="B44" s="6" t="s">
        <v>81</v>
      </c>
      <c r="C44" s="6" t="s">
        <v>82</v>
      </c>
      <c r="D44" s="6" t="s">
        <v>117</v>
      </c>
      <c r="E44" s="6" t="s">
        <v>24</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8">
        <v>5</v>
      </c>
      <c r="AN44" s="6"/>
      <c r="AO44" s="6"/>
      <c r="AP44" s="8">
        <v>5</v>
      </c>
      <c r="AQ44" s="6"/>
      <c r="AR44" s="6"/>
      <c r="AS44" s="6"/>
      <c r="AT44" s="6"/>
      <c r="AU44" s="6"/>
      <c r="AV44" s="6"/>
      <c r="AW44" s="6"/>
      <c r="AX44" s="6"/>
      <c r="AY44" s="6"/>
      <c r="AZ44" s="6"/>
      <c r="BA44" s="6"/>
      <c r="BB44" s="6"/>
      <c r="BC44" s="6"/>
      <c r="BD44" s="6"/>
      <c r="BE44" s="6"/>
      <c r="BF44" s="6"/>
      <c r="BG44" s="6"/>
      <c r="BH44" s="6"/>
      <c r="BI44" s="6"/>
      <c r="BJ44" s="6"/>
      <c r="BK44" s="6"/>
      <c r="BL44" s="8">
        <v>5</v>
      </c>
      <c r="BM44" s="6"/>
      <c r="BN44" s="6"/>
      <c r="BO44" s="6"/>
      <c r="BP44" s="6"/>
      <c r="BQ44" s="6"/>
      <c r="BR44" s="6"/>
      <c r="BS44" s="6"/>
      <c r="BT44" s="6"/>
      <c r="BU44" s="6"/>
      <c r="BV44" s="6"/>
      <c r="BW44" s="6"/>
      <c r="BX44" s="6"/>
      <c r="BY44" s="6"/>
      <c r="BZ44" s="6"/>
      <c r="CA44" s="6"/>
      <c r="CB44" s="6"/>
      <c r="CC44" s="6"/>
      <c r="CD44" s="6"/>
      <c r="CE44" s="6"/>
      <c r="CF44" s="6"/>
      <c r="CG44" s="9">
        <v>5</v>
      </c>
    </row>
    <row r="45" spans="1:85" x14ac:dyDescent="0.3">
      <c r="A45" s="3" t="str">
        <f t="shared" si="2"/>
        <v>ADDDiscoveryNational Coordinating Office for NITRD (NCO)Total</v>
      </c>
      <c r="B45" s="6" t="s">
        <v>81</v>
      </c>
      <c r="C45" s="6" t="s">
        <v>82</v>
      </c>
      <c r="D45" s="6" t="s">
        <v>118</v>
      </c>
      <c r="E45" s="6" t="s">
        <v>24</v>
      </c>
      <c r="F45" s="6"/>
      <c r="G45" s="6"/>
      <c r="H45" s="6"/>
      <c r="I45" s="6"/>
      <c r="J45" s="6"/>
      <c r="K45" s="6"/>
      <c r="L45" s="6"/>
      <c r="M45" s="6"/>
      <c r="N45" s="6"/>
      <c r="O45" s="6"/>
      <c r="P45" s="6"/>
      <c r="Q45" s="8">
        <v>0</v>
      </c>
      <c r="R45" s="6"/>
      <c r="S45" s="8">
        <v>0</v>
      </c>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8">
        <v>0</v>
      </c>
      <c r="BM45" s="6"/>
      <c r="BN45" s="6"/>
      <c r="BO45" s="6"/>
      <c r="BP45" s="6"/>
      <c r="BQ45" s="6"/>
      <c r="BR45" s="6"/>
      <c r="BS45" s="6"/>
      <c r="BT45" s="6"/>
      <c r="BU45" s="6"/>
      <c r="BV45" s="6"/>
      <c r="BW45" s="6"/>
      <c r="BX45" s="6"/>
      <c r="BY45" s="6"/>
      <c r="BZ45" s="6"/>
      <c r="CA45" s="6"/>
      <c r="CB45" s="6"/>
      <c r="CC45" s="6"/>
      <c r="CD45" s="6"/>
      <c r="CE45" s="6"/>
      <c r="CF45" s="6"/>
      <c r="CG45" s="9">
        <v>0</v>
      </c>
    </row>
    <row r="46" spans="1:85" x14ac:dyDescent="0.3">
      <c r="A46" s="3" t="str">
        <f t="shared" si="2"/>
        <v>ADDDiscoveryNational Nanotechnology Coordinating Office (NNCO)Total</v>
      </c>
      <c r="B46" s="6" t="s">
        <v>81</v>
      </c>
      <c r="C46" s="6" t="s">
        <v>82</v>
      </c>
      <c r="D46" s="6" t="s">
        <v>119</v>
      </c>
      <c r="E46" s="6" t="s">
        <v>24</v>
      </c>
      <c r="F46" s="6"/>
      <c r="G46" s="6"/>
      <c r="H46" s="8">
        <v>0.09</v>
      </c>
      <c r="I46" s="6"/>
      <c r="J46" s="6"/>
      <c r="K46" s="6"/>
      <c r="L46" s="8">
        <v>0.09</v>
      </c>
      <c r="M46" s="6"/>
      <c r="N46" s="6"/>
      <c r="O46" s="6"/>
      <c r="P46" s="6"/>
      <c r="Q46" s="6"/>
      <c r="R46" s="6"/>
      <c r="S46" s="6"/>
      <c r="T46" s="6"/>
      <c r="U46" s="6"/>
      <c r="V46" s="6"/>
      <c r="W46" s="6"/>
      <c r="X46" s="6"/>
      <c r="Y46" s="6"/>
      <c r="Z46" s="6"/>
      <c r="AA46" s="6"/>
      <c r="AB46" s="6"/>
      <c r="AC46" s="6"/>
      <c r="AD46" s="6"/>
      <c r="AE46" s="6"/>
      <c r="AF46" s="8">
        <v>0</v>
      </c>
      <c r="AG46" s="6"/>
      <c r="AH46" s="8">
        <v>0</v>
      </c>
      <c r="AI46" s="6"/>
      <c r="AJ46" s="6"/>
      <c r="AK46" s="6"/>
      <c r="AL46" s="6"/>
      <c r="AM46" s="8">
        <v>0</v>
      </c>
      <c r="AN46" s="6"/>
      <c r="AO46" s="6"/>
      <c r="AP46" s="8">
        <v>0</v>
      </c>
      <c r="AQ46" s="6"/>
      <c r="AR46" s="6"/>
      <c r="AS46" s="6"/>
      <c r="AT46" s="6"/>
      <c r="AU46" s="6"/>
      <c r="AV46" s="6"/>
      <c r="AW46" s="6"/>
      <c r="AX46" s="6"/>
      <c r="AY46" s="6"/>
      <c r="AZ46" s="6"/>
      <c r="BA46" s="6"/>
      <c r="BB46" s="6"/>
      <c r="BC46" s="8">
        <v>0</v>
      </c>
      <c r="BD46" s="8">
        <v>0</v>
      </c>
      <c r="BE46" s="6"/>
      <c r="BF46" s="6"/>
      <c r="BG46" s="6"/>
      <c r="BH46" s="6"/>
      <c r="BI46" s="6"/>
      <c r="BJ46" s="6"/>
      <c r="BK46" s="6"/>
      <c r="BL46" s="8">
        <v>0.09</v>
      </c>
      <c r="BM46" s="6"/>
      <c r="BN46" s="6"/>
      <c r="BO46" s="6"/>
      <c r="BP46" s="6"/>
      <c r="BQ46" s="6"/>
      <c r="BR46" s="6"/>
      <c r="BS46" s="6"/>
      <c r="BT46" s="6"/>
      <c r="BU46" s="6"/>
      <c r="BV46" s="6"/>
      <c r="BW46" s="6"/>
      <c r="BX46" s="6"/>
      <c r="BY46" s="6"/>
      <c r="BZ46" s="6"/>
      <c r="CA46" s="6"/>
      <c r="CB46" s="6"/>
      <c r="CC46" s="6"/>
      <c r="CD46" s="6"/>
      <c r="CE46" s="6"/>
      <c r="CF46" s="6"/>
      <c r="CG46" s="9">
        <v>0.09</v>
      </c>
    </row>
    <row r="47" spans="1:85" x14ac:dyDescent="0.3">
      <c r="A47" s="3" t="str">
        <f t="shared" si="2"/>
        <v>ADDDiscoveryNSF Innovation Corps (I-Corps)Total</v>
      </c>
      <c r="B47" s="6" t="s">
        <v>81</v>
      </c>
      <c r="C47" s="6" t="s">
        <v>82</v>
      </c>
      <c r="D47" s="6" t="s">
        <v>120</v>
      </c>
      <c r="E47" s="6" t="s">
        <v>24</v>
      </c>
      <c r="F47" s="6"/>
      <c r="G47" s="6"/>
      <c r="H47" s="8">
        <v>0</v>
      </c>
      <c r="I47" s="6"/>
      <c r="J47" s="6"/>
      <c r="K47" s="6"/>
      <c r="L47" s="8">
        <v>0</v>
      </c>
      <c r="M47" s="6"/>
      <c r="N47" s="6"/>
      <c r="O47" s="6"/>
      <c r="P47" s="8">
        <v>0</v>
      </c>
      <c r="Q47" s="6"/>
      <c r="R47" s="6"/>
      <c r="S47" s="8">
        <v>0</v>
      </c>
      <c r="T47" s="6"/>
      <c r="U47" s="6"/>
      <c r="V47" s="6"/>
      <c r="W47" s="6"/>
      <c r="X47" s="6"/>
      <c r="Y47" s="8">
        <v>0</v>
      </c>
      <c r="Z47" s="6"/>
      <c r="AA47" s="8">
        <v>0</v>
      </c>
      <c r="AB47" s="6"/>
      <c r="AC47" s="6"/>
      <c r="AD47" s="6"/>
      <c r="AE47" s="8">
        <v>0</v>
      </c>
      <c r="AF47" s="8">
        <v>0</v>
      </c>
      <c r="AG47" s="6"/>
      <c r="AH47" s="8">
        <v>0</v>
      </c>
      <c r="AI47" s="6"/>
      <c r="AJ47" s="6"/>
      <c r="AK47" s="6"/>
      <c r="AL47" s="8">
        <v>0</v>
      </c>
      <c r="AM47" s="8">
        <v>0</v>
      </c>
      <c r="AN47" s="6"/>
      <c r="AO47" s="6"/>
      <c r="AP47" s="8">
        <v>0</v>
      </c>
      <c r="AQ47" s="6"/>
      <c r="AR47" s="6"/>
      <c r="AS47" s="8">
        <v>0</v>
      </c>
      <c r="AT47" s="6"/>
      <c r="AU47" s="6"/>
      <c r="AV47" s="8">
        <v>0</v>
      </c>
      <c r="AW47" s="6"/>
      <c r="AX47" s="6"/>
      <c r="AY47" s="6"/>
      <c r="AZ47" s="8">
        <v>40</v>
      </c>
      <c r="BA47" s="6"/>
      <c r="BB47" s="8">
        <v>40</v>
      </c>
      <c r="BC47" s="6"/>
      <c r="BD47" s="6"/>
      <c r="BE47" s="6"/>
      <c r="BF47" s="6"/>
      <c r="BG47" s="6"/>
      <c r="BH47" s="6"/>
      <c r="BI47" s="6"/>
      <c r="BJ47" s="6"/>
      <c r="BK47" s="6"/>
      <c r="BL47" s="8">
        <v>40</v>
      </c>
      <c r="BM47" s="8">
        <v>0</v>
      </c>
      <c r="BN47" s="6"/>
      <c r="BO47" s="8">
        <v>0</v>
      </c>
      <c r="BP47" s="6"/>
      <c r="BQ47" s="6"/>
      <c r="BR47" s="8">
        <v>0</v>
      </c>
      <c r="BS47" s="8">
        <v>0</v>
      </c>
      <c r="BT47" s="6"/>
      <c r="BU47" s="6"/>
      <c r="BV47" s="6"/>
      <c r="BW47" s="6"/>
      <c r="BX47" s="6"/>
      <c r="BY47" s="6"/>
      <c r="BZ47" s="6"/>
      <c r="CA47" s="6"/>
      <c r="CB47" s="6"/>
      <c r="CC47" s="6"/>
      <c r="CD47" s="6"/>
      <c r="CE47" s="6"/>
      <c r="CF47" s="6"/>
      <c r="CG47" s="9">
        <v>40</v>
      </c>
    </row>
    <row r="48" spans="1:85" x14ac:dyDescent="0.3">
      <c r="A48" s="3" t="str">
        <f t="shared" si="2"/>
        <v>ADDDiscoveryNSF Regional Innovation Engines (NSF Engines)Total</v>
      </c>
      <c r="B48" s="6" t="s">
        <v>81</v>
      </c>
      <c r="C48" s="6" t="s">
        <v>82</v>
      </c>
      <c r="D48" s="6" t="s">
        <v>121</v>
      </c>
      <c r="E48" s="6" t="s">
        <v>24</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8">
        <v>150</v>
      </c>
      <c r="AX48" s="6"/>
      <c r="AY48" s="8">
        <v>50</v>
      </c>
      <c r="AZ48" s="6"/>
      <c r="BA48" s="6"/>
      <c r="BB48" s="8">
        <v>200</v>
      </c>
      <c r="BC48" s="6"/>
      <c r="BD48" s="6"/>
      <c r="BE48" s="6"/>
      <c r="BF48" s="6"/>
      <c r="BG48" s="6"/>
      <c r="BH48" s="6"/>
      <c r="BI48" s="6"/>
      <c r="BJ48" s="6"/>
      <c r="BK48" s="6"/>
      <c r="BL48" s="8">
        <v>200</v>
      </c>
      <c r="BM48" s="6"/>
      <c r="BN48" s="6"/>
      <c r="BO48" s="6"/>
      <c r="BP48" s="6"/>
      <c r="BQ48" s="6"/>
      <c r="BR48" s="6"/>
      <c r="BS48" s="6"/>
      <c r="BT48" s="6"/>
      <c r="BU48" s="6"/>
      <c r="BV48" s="6"/>
      <c r="BW48" s="6"/>
      <c r="BX48" s="6"/>
      <c r="BY48" s="6"/>
      <c r="BZ48" s="6"/>
      <c r="CA48" s="6"/>
      <c r="CB48" s="6"/>
      <c r="CC48" s="6"/>
      <c r="CD48" s="6"/>
      <c r="CE48" s="6"/>
      <c r="CF48" s="6"/>
      <c r="CG48" s="9">
        <v>200</v>
      </c>
    </row>
    <row r="49" spans="1:85" x14ac:dyDescent="0.3">
      <c r="A49" s="3" t="str">
        <f t="shared" si="2"/>
        <v>ADDDiscoveryPartnerships for Innovation (PFI)Total</v>
      </c>
      <c r="B49" s="6" t="s">
        <v>81</v>
      </c>
      <c r="C49" s="6" t="s">
        <v>82</v>
      </c>
      <c r="D49" s="6" t="s">
        <v>122</v>
      </c>
      <c r="E49" s="6" t="s">
        <v>24</v>
      </c>
      <c r="F49" s="6"/>
      <c r="G49" s="6"/>
      <c r="H49" s="6"/>
      <c r="I49" s="6"/>
      <c r="J49" s="6"/>
      <c r="K49" s="6"/>
      <c r="L49" s="6"/>
      <c r="M49" s="6"/>
      <c r="N49" s="8">
        <v>0</v>
      </c>
      <c r="O49" s="6"/>
      <c r="P49" s="6"/>
      <c r="Q49" s="6"/>
      <c r="R49" s="6"/>
      <c r="S49" s="8">
        <v>0</v>
      </c>
      <c r="T49" s="6"/>
      <c r="U49" s="6"/>
      <c r="V49" s="6"/>
      <c r="W49" s="6"/>
      <c r="X49" s="6"/>
      <c r="Y49" s="8">
        <v>0</v>
      </c>
      <c r="Z49" s="6"/>
      <c r="AA49" s="8">
        <v>0</v>
      </c>
      <c r="AB49" s="6"/>
      <c r="AC49" s="6"/>
      <c r="AD49" s="6"/>
      <c r="AE49" s="6"/>
      <c r="AF49" s="6"/>
      <c r="AG49" s="6"/>
      <c r="AH49" s="6"/>
      <c r="AI49" s="6"/>
      <c r="AJ49" s="6"/>
      <c r="AK49" s="6"/>
      <c r="AL49" s="6"/>
      <c r="AM49" s="6"/>
      <c r="AN49" s="6"/>
      <c r="AO49" s="6"/>
      <c r="AP49" s="6"/>
      <c r="AQ49" s="6"/>
      <c r="AR49" s="6"/>
      <c r="AS49" s="6"/>
      <c r="AT49" s="6"/>
      <c r="AU49" s="6"/>
      <c r="AV49" s="6"/>
      <c r="AW49" s="6"/>
      <c r="AX49" s="6"/>
      <c r="AY49" s="6"/>
      <c r="AZ49" s="8">
        <v>30</v>
      </c>
      <c r="BA49" s="6"/>
      <c r="BB49" s="8">
        <v>30</v>
      </c>
      <c r="BC49" s="6"/>
      <c r="BD49" s="6"/>
      <c r="BE49" s="6"/>
      <c r="BF49" s="6"/>
      <c r="BG49" s="6"/>
      <c r="BH49" s="6"/>
      <c r="BI49" s="6"/>
      <c r="BJ49" s="6"/>
      <c r="BK49" s="6"/>
      <c r="BL49" s="8">
        <v>30</v>
      </c>
      <c r="BM49" s="6"/>
      <c r="BN49" s="6"/>
      <c r="BO49" s="6"/>
      <c r="BP49" s="6"/>
      <c r="BQ49" s="6"/>
      <c r="BR49" s="6"/>
      <c r="BS49" s="6"/>
      <c r="BT49" s="6"/>
      <c r="BU49" s="6"/>
      <c r="BV49" s="6"/>
      <c r="BW49" s="6"/>
      <c r="BX49" s="6"/>
      <c r="BY49" s="6"/>
      <c r="BZ49" s="6"/>
      <c r="CA49" s="6"/>
      <c r="CB49" s="6"/>
      <c r="CC49" s="6"/>
      <c r="CD49" s="6"/>
      <c r="CE49" s="6"/>
      <c r="CF49" s="6"/>
      <c r="CG49" s="9">
        <v>30</v>
      </c>
    </row>
    <row r="50" spans="1:85" x14ac:dyDescent="0.3">
      <c r="A50" s="3" t="str">
        <f t="shared" si="2"/>
        <v>ADDDiscoveryScience &amp; Technology CentersTotal</v>
      </c>
      <c r="B50" s="6" t="s">
        <v>81</v>
      </c>
      <c r="C50" s="6" t="s">
        <v>82</v>
      </c>
      <c r="D50" s="6" t="s">
        <v>123</v>
      </c>
      <c r="E50" s="6" t="s">
        <v>24</v>
      </c>
      <c r="F50" s="8">
        <v>10</v>
      </c>
      <c r="G50" s="6"/>
      <c r="H50" s="6"/>
      <c r="I50" s="6"/>
      <c r="J50" s="6"/>
      <c r="K50" s="6"/>
      <c r="L50" s="8">
        <v>10</v>
      </c>
      <c r="M50" s="6"/>
      <c r="N50" s="6"/>
      <c r="O50" s="6"/>
      <c r="P50" s="6"/>
      <c r="Q50" s="6"/>
      <c r="R50" s="6"/>
      <c r="S50" s="6"/>
      <c r="T50" s="8">
        <v>5</v>
      </c>
      <c r="U50" s="8">
        <v>5</v>
      </c>
      <c r="V50" s="6"/>
      <c r="W50" s="6"/>
      <c r="X50" s="6"/>
      <c r="Y50" s="6"/>
      <c r="Z50" s="6"/>
      <c r="AA50" s="8">
        <v>10</v>
      </c>
      <c r="AB50" s="8">
        <v>5</v>
      </c>
      <c r="AC50" s="6"/>
      <c r="AD50" s="8">
        <v>5</v>
      </c>
      <c r="AE50" s="8">
        <v>5</v>
      </c>
      <c r="AF50" s="6"/>
      <c r="AG50" s="6"/>
      <c r="AH50" s="8">
        <v>15</v>
      </c>
      <c r="AI50" s="6"/>
      <c r="AJ50" s="6"/>
      <c r="AK50" s="8">
        <v>10</v>
      </c>
      <c r="AL50" s="6"/>
      <c r="AM50" s="6"/>
      <c r="AN50" s="8">
        <v>5</v>
      </c>
      <c r="AO50" s="6"/>
      <c r="AP50" s="8">
        <v>15</v>
      </c>
      <c r="AQ50" s="6"/>
      <c r="AR50" s="6"/>
      <c r="AS50" s="6"/>
      <c r="AT50" s="6"/>
      <c r="AU50" s="6"/>
      <c r="AV50" s="6"/>
      <c r="AW50" s="6"/>
      <c r="AX50" s="6"/>
      <c r="AY50" s="6"/>
      <c r="AZ50" s="6"/>
      <c r="BA50" s="6"/>
      <c r="BB50" s="6"/>
      <c r="BC50" s="6"/>
      <c r="BD50" s="6"/>
      <c r="BE50" s="6"/>
      <c r="BF50" s="8">
        <v>27.6</v>
      </c>
      <c r="BG50" s="8">
        <v>27.6</v>
      </c>
      <c r="BH50" s="6"/>
      <c r="BI50" s="6"/>
      <c r="BJ50" s="6"/>
      <c r="BK50" s="6"/>
      <c r="BL50" s="8">
        <v>77.599999999999994</v>
      </c>
      <c r="BM50" s="6"/>
      <c r="BN50" s="6"/>
      <c r="BO50" s="6"/>
      <c r="BP50" s="6"/>
      <c r="BQ50" s="6"/>
      <c r="BR50" s="6"/>
      <c r="BS50" s="6"/>
      <c r="BT50" s="6"/>
      <c r="BU50" s="6"/>
      <c r="BV50" s="6"/>
      <c r="BW50" s="6"/>
      <c r="BX50" s="6"/>
      <c r="BY50" s="6"/>
      <c r="BZ50" s="6"/>
      <c r="CA50" s="6"/>
      <c r="CB50" s="6"/>
      <c r="CC50" s="6"/>
      <c r="CD50" s="6"/>
      <c r="CE50" s="6"/>
      <c r="CF50" s="6"/>
      <c r="CG50" s="9">
        <v>77.599999999999994</v>
      </c>
    </row>
    <row r="51" spans="1:85" x14ac:dyDescent="0.3">
      <c r="A51" s="3" t="str">
        <f t="shared" si="2"/>
        <v>ADDDiscoveryScience &amp; Technology CentersSTCs - 2013 Class</v>
      </c>
      <c r="B51" s="6" t="s">
        <v>81</v>
      </c>
      <c r="C51" s="6" t="s">
        <v>82</v>
      </c>
      <c r="D51" s="6" t="s">
        <v>123</v>
      </c>
      <c r="E51" s="6" t="s">
        <v>125</v>
      </c>
      <c r="F51" s="8">
        <v>0</v>
      </c>
      <c r="G51" s="6"/>
      <c r="H51" s="6"/>
      <c r="I51" s="6"/>
      <c r="J51" s="6"/>
      <c r="K51" s="6"/>
      <c r="L51" s="8">
        <v>0</v>
      </c>
      <c r="M51" s="6"/>
      <c r="N51" s="6"/>
      <c r="O51" s="6"/>
      <c r="P51" s="6"/>
      <c r="Q51" s="6"/>
      <c r="R51" s="6"/>
      <c r="S51" s="6"/>
      <c r="T51" s="6"/>
      <c r="U51" s="6"/>
      <c r="V51" s="6"/>
      <c r="W51" s="6"/>
      <c r="X51" s="6"/>
      <c r="Y51" s="6"/>
      <c r="Z51" s="6"/>
      <c r="AA51" s="6"/>
      <c r="AB51" s="6"/>
      <c r="AC51" s="6"/>
      <c r="AD51" s="6"/>
      <c r="AE51" s="6"/>
      <c r="AF51" s="6"/>
      <c r="AG51" s="6"/>
      <c r="AH51" s="6"/>
      <c r="AI51" s="6"/>
      <c r="AJ51" s="6"/>
      <c r="AK51" s="8">
        <v>0</v>
      </c>
      <c r="AL51" s="6"/>
      <c r="AM51" s="6"/>
      <c r="AN51" s="6"/>
      <c r="AO51" s="6"/>
      <c r="AP51" s="8">
        <v>0</v>
      </c>
      <c r="AQ51" s="6"/>
      <c r="AR51" s="6"/>
      <c r="AS51" s="6"/>
      <c r="AT51" s="6"/>
      <c r="AU51" s="6"/>
      <c r="AV51" s="6"/>
      <c r="AW51" s="6"/>
      <c r="AX51" s="6"/>
      <c r="AY51" s="6"/>
      <c r="AZ51" s="6"/>
      <c r="BA51" s="6"/>
      <c r="BB51" s="6"/>
      <c r="BC51" s="6"/>
      <c r="BD51" s="6"/>
      <c r="BE51" s="6"/>
      <c r="BF51" s="8">
        <v>0</v>
      </c>
      <c r="BG51" s="8">
        <v>0</v>
      </c>
      <c r="BH51" s="6"/>
      <c r="BI51" s="6"/>
      <c r="BJ51" s="6"/>
      <c r="BK51" s="6"/>
      <c r="BL51" s="8">
        <v>0</v>
      </c>
      <c r="BM51" s="6"/>
      <c r="BN51" s="6"/>
      <c r="BO51" s="6"/>
      <c r="BP51" s="6"/>
      <c r="BQ51" s="6"/>
      <c r="BR51" s="6"/>
      <c r="BS51" s="6"/>
      <c r="BT51" s="6"/>
      <c r="BU51" s="6"/>
      <c r="BV51" s="6"/>
      <c r="BW51" s="6"/>
      <c r="BX51" s="6"/>
      <c r="BY51" s="6"/>
      <c r="BZ51" s="6"/>
      <c r="CA51" s="6"/>
      <c r="CB51" s="6"/>
      <c r="CC51" s="6"/>
      <c r="CD51" s="6"/>
      <c r="CE51" s="6"/>
      <c r="CF51" s="6"/>
      <c r="CG51" s="9">
        <v>0</v>
      </c>
    </row>
    <row r="52" spans="1:85" x14ac:dyDescent="0.3">
      <c r="A52" s="3" t="str">
        <f t="shared" si="2"/>
        <v>ADDDiscoveryScience &amp; Technology CentersSTCs – 2016 Class</v>
      </c>
      <c r="B52" s="6" t="s">
        <v>81</v>
      </c>
      <c r="C52" s="6" t="s">
        <v>82</v>
      </c>
      <c r="D52" s="6" t="s">
        <v>123</v>
      </c>
      <c r="E52" s="6" t="s">
        <v>126</v>
      </c>
      <c r="F52" s="8">
        <v>5</v>
      </c>
      <c r="G52" s="6"/>
      <c r="H52" s="6"/>
      <c r="I52" s="6"/>
      <c r="J52" s="6"/>
      <c r="K52" s="6"/>
      <c r="L52" s="8">
        <v>5</v>
      </c>
      <c r="M52" s="6"/>
      <c r="N52" s="6"/>
      <c r="O52" s="6"/>
      <c r="P52" s="6"/>
      <c r="Q52" s="6"/>
      <c r="R52" s="6"/>
      <c r="S52" s="6"/>
      <c r="T52" s="6"/>
      <c r="U52" s="8">
        <v>5</v>
      </c>
      <c r="V52" s="6"/>
      <c r="W52" s="6"/>
      <c r="X52" s="6"/>
      <c r="Y52" s="6"/>
      <c r="Z52" s="6"/>
      <c r="AA52" s="8">
        <v>5</v>
      </c>
      <c r="AB52" s="6"/>
      <c r="AC52" s="6"/>
      <c r="AD52" s="6"/>
      <c r="AE52" s="6"/>
      <c r="AF52" s="6"/>
      <c r="AG52" s="6"/>
      <c r="AH52" s="6"/>
      <c r="AI52" s="6"/>
      <c r="AJ52" s="6"/>
      <c r="AK52" s="8">
        <v>5</v>
      </c>
      <c r="AL52" s="6"/>
      <c r="AM52" s="6"/>
      <c r="AN52" s="8">
        <v>5</v>
      </c>
      <c r="AO52" s="6"/>
      <c r="AP52" s="8">
        <v>10</v>
      </c>
      <c r="AQ52" s="6"/>
      <c r="AR52" s="6"/>
      <c r="AS52" s="6"/>
      <c r="AT52" s="6"/>
      <c r="AU52" s="6"/>
      <c r="AV52" s="6"/>
      <c r="AW52" s="6"/>
      <c r="AX52" s="6"/>
      <c r="AY52" s="6"/>
      <c r="AZ52" s="6"/>
      <c r="BA52" s="6"/>
      <c r="BB52" s="6"/>
      <c r="BC52" s="6"/>
      <c r="BD52" s="6"/>
      <c r="BE52" s="6"/>
      <c r="BF52" s="6"/>
      <c r="BG52" s="6"/>
      <c r="BH52" s="6"/>
      <c r="BI52" s="6"/>
      <c r="BJ52" s="6"/>
      <c r="BK52" s="6"/>
      <c r="BL52" s="8">
        <v>20</v>
      </c>
      <c r="BM52" s="6"/>
      <c r="BN52" s="6"/>
      <c r="BO52" s="6"/>
      <c r="BP52" s="6"/>
      <c r="BQ52" s="6"/>
      <c r="BR52" s="6"/>
      <c r="BS52" s="6"/>
      <c r="BT52" s="6"/>
      <c r="BU52" s="6"/>
      <c r="BV52" s="6"/>
      <c r="BW52" s="6"/>
      <c r="BX52" s="6"/>
      <c r="BY52" s="6"/>
      <c r="BZ52" s="6"/>
      <c r="CA52" s="6"/>
      <c r="CB52" s="6"/>
      <c r="CC52" s="6"/>
      <c r="CD52" s="6"/>
      <c r="CE52" s="6"/>
      <c r="CF52" s="6"/>
      <c r="CG52" s="9">
        <v>20</v>
      </c>
    </row>
    <row r="53" spans="1:85" x14ac:dyDescent="0.3">
      <c r="A53" s="3" t="str">
        <f t="shared" si="2"/>
        <v>ADDDiscoveryScience &amp; Technology CentersSTCs - 2021 Class</v>
      </c>
      <c r="B53" s="6" t="s">
        <v>81</v>
      </c>
      <c r="C53" s="6" t="s">
        <v>82</v>
      </c>
      <c r="D53" s="6" t="s">
        <v>123</v>
      </c>
      <c r="E53" s="6" t="s">
        <v>127</v>
      </c>
      <c r="F53" s="8">
        <v>5</v>
      </c>
      <c r="G53" s="6"/>
      <c r="H53" s="6"/>
      <c r="I53" s="6"/>
      <c r="J53" s="6"/>
      <c r="K53" s="6"/>
      <c r="L53" s="8">
        <v>5</v>
      </c>
      <c r="M53" s="6"/>
      <c r="N53" s="6"/>
      <c r="O53" s="6"/>
      <c r="P53" s="6"/>
      <c r="Q53" s="6"/>
      <c r="R53" s="6"/>
      <c r="S53" s="6"/>
      <c r="T53" s="8">
        <v>5</v>
      </c>
      <c r="U53" s="6"/>
      <c r="V53" s="6"/>
      <c r="W53" s="6"/>
      <c r="X53" s="6"/>
      <c r="Y53" s="6"/>
      <c r="Z53" s="6"/>
      <c r="AA53" s="8">
        <v>5</v>
      </c>
      <c r="AB53" s="8">
        <v>5</v>
      </c>
      <c r="AC53" s="6"/>
      <c r="AD53" s="8">
        <v>5</v>
      </c>
      <c r="AE53" s="8">
        <v>5</v>
      </c>
      <c r="AF53" s="6"/>
      <c r="AG53" s="6"/>
      <c r="AH53" s="8">
        <v>15</v>
      </c>
      <c r="AI53" s="6"/>
      <c r="AJ53" s="6"/>
      <c r="AK53" s="8">
        <v>5</v>
      </c>
      <c r="AL53" s="6"/>
      <c r="AM53" s="6"/>
      <c r="AN53" s="6"/>
      <c r="AO53" s="6"/>
      <c r="AP53" s="8">
        <v>5</v>
      </c>
      <c r="AQ53" s="6"/>
      <c r="AR53" s="6"/>
      <c r="AS53" s="6"/>
      <c r="AT53" s="6"/>
      <c r="AU53" s="6"/>
      <c r="AV53" s="6"/>
      <c r="AW53" s="6"/>
      <c r="AX53" s="6"/>
      <c r="AY53" s="6"/>
      <c r="AZ53" s="6"/>
      <c r="BA53" s="6"/>
      <c r="BB53" s="6"/>
      <c r="BC53" s="6"/>
      <c r="BD53" s="6"/>
      <c r="BE53" s="6"/>
      <c r="BF53" s="8">
        <v>0</v>
      </c>
      <c r="BG53" s="8">
        <v>0</v>
      </c>
      <c r="BH53" s="6"/>
      <c r="BI53" s="6"/>
      <c r="BJ53" s="6"/>
      <c r="BK53" s="6"/>
      <c r="BL53" s="8">
        <v>30</v>
      </c>
      <c r="BM53" s="6"/>
      <c r="BN53" s="6"/>
      <c r="BO53" s="6"/>
      <c r="BP53" s="6"/>
      <c r="BQ53" s="6"/>
      <c r="BR53" s="6"/>
      <c r="BS53" s="6"/>
      <c r="BT53" s="6"/>
      <c r="BU53" s="6"/>
      <c r="BV53" s="6"/>
      <c r="BW53" s="6"/>
      <c r="BX53" s="6"/>
      <c r="BY53" s="6"/>
      <c r="BZ53" s="6"/>
      <c r="CA53" s="6"/>
      <c r="CB53" s="6"/>
      <c r="CC53" s="6"/>
      <c r="CD53" s="6"/>
      <c r="CE53" s="6"/>
      <c r="CF53" s="6"/>
      <c r="CG53" s="9">
        <v>30</v>
      </c>
    </row>
    <row r="54" spans="1:85" x14ac:dyDescent="0.3">
      <c r="A54" s="3" t="str">
        <f t="shared" si="2"/>
        <v>ADDDiscoveryScience &amp; Technology CentersSTCs – 2023 Class</v>
      </c>
      <c r="B54" s="6" t="s">
        <v>81</v>
      </c>
      <c r="C54" s="6" t="s">
        <v>82</v>
      </c>
      <c r="D54" s="6" t="s">
        <v>123</v>
      </c>
      <c r="E54" s="6" t="s">
        <v>349</v>
      </c>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8">
        <v>27</v>
      </c>
      <c r="BG54" s="8">
        <v>27</v>
      </c>
      <c r="BH54" s="6"/>
      <c r="BI54" s="6"/>
      <c r="BJ54" s="6"/>
      <c r="BK54" s="6"/>
      <c r="BL54" s="8">
        <v>27</v>
      </c>
      <c r="BM54" s="6"/>
      <c r="BN54" s="6"/>
      <c r="BO54" s="6"/>
      <c r="BP54" s="6"/>
      <c r="BQ54" s="6"/>
      <c r="BR54" s="6"/>
      <c r="BS54" s="6"/>
      <c r="BT54" s="6"/>
      <c r="BU54" s="6"/>
      <c r="BV54" s="6"/>
      <c r="BW54" s="6"/>
      <c r="BX54" s="6"/>
      <c r="BY54" s="6"/>
      <c r="BZ54" s="6"/>
      <c r="CA54" s="6"/>
      <c r="CB54" s="6"/>
      <c r="CC54" s="6"/>
      <c r="CD54" s="6"/>
      <c r="CE54" s="6"/>
      <c r="CF54" s="6"/>
      <c r="CG54" s="9">
        <v>27</v>
      </c>
    </row>
    <row r="55" spans="1:85" x14ac:dyDescent="0.3">
      <c r="A55" s="3" t="str">
        <f t="shared" si="2"/>
        <v>ADDDiscoveryScience &amp; Technology CentersSTCs - Administration</v>
      </c>
      <c r="B55" s="6" t="s">
        <v>81</v>
      </c>
      <c r="C55" s="6" t="s">
        <v>82</v>
      </c>
      <c r="D55" s="6" t="s">
        <v>123</v>
      </c>
      <c r="E55" s="6" t="s">
        <v>128</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8">
        <v>0.6</v>
      </c>
      <c r="BG55" s="8">
        <v>0.6</v>
      </c>
      <c r="BH55" s="6"/>
      <c r="BI55" s="6"/>
      <c r="BJ55" s="6"/>
      <c r="BK55" s="6"/>
      <c r="BL55" s="8">
        <v>0.6</v>
      </c>
      <c r="BM55" s="6"/>
      <c r="BN55" s="6"/>
      <c r="BO55" s="6"/>
      <c r="BP55" s="6"/>
      <c r="BQ55" s="6"/>
      <c r="BR55" s="6"/>
      <c r="BS55" s="6"/>
      <c r="BT55" s="6"/>
      <c r="BU55" s="6"/>
      <c r="BV55" s="6"/>
      <c r="BW55" s="6"/>
      <c r="BX55" s="6"/>
      <c r="BY55" s="6"/>
      <c r="BZ55" s="6"/>
      <c r="CA55" s="6"/>
      <c r="CB55" s="6"/>
      <c r="CC55" s="6"/>
      <c r="CD55" s="6"/>
      <c r="CE55" s="6"/>
      <c r="CF55" s="6"/>
      <c r="CG55" s="9">
        <v>0.6</v>
      </c>
    </row>
    <row r="56" spans="1:85" x14ac:dyDescent="0.3">
      <c r="A56" s="3" t="str">
        <f t="shared" si="2"/>
        <v>ADDDiscoverySmall Business – SBIR ProgramsTotal</v>
      </c>
      <c r="B56" s="6" t="s">
        <v>81</v>
      </c>
      <c r="C56" s="6" t="s">
        <v>82</v>
      </c>
      <c r="D56" s="6" t="s">
        <v>129</v>
      </c>
      <c r="E56" s="6" t="s">
        <v>24</v>
      </c>
      <c r="F56" s="6"/>
      <c r="G56" s="6"/>
      <c r="H56" s="6"/>
      <c r="I56" s="6"/>
      <c r="J56" s="6"/>
      <c r="K56" s="6"/>
      <c r="L56" s="6"/>
      <c r="M56" s="6"/>
      <c r="N56" s="6"/>
      <c r="O56" s="6"/>
      <c r="P56" s="6"/>
      <c r="Q56" s="6"/>
      <c r="R56" s="6"/>
      <c r="S56" s="6"/>
      <c r="T56" s="6"/>
      <c r="U56" s="6"/>
      <c r="V56" s="6"/>
      <c r="W56" s="6"/>
      <c r="X56" s="6"/>
      <c r="Y56" s="8">
        <v>0</v>
      </c>
      <c r="Z56" s="6"/>
      <c r="AA56" s="8">
        <v>0</v>
      </c>
      <c r="AB56" s="6"/>
      <c r="AC56" s="6"/>
      <c r="AD56" s="6"/>
      <c r="AE56" s="6"/>
      <c r="AF56" s="6"/>
      <c r="AG56" s="6"/>
      <c r="AH56" s="6"/>
      <c r="AI56" s="6"/>
      <c r="AJ56" s="6"/>
      <c r="AK56" s="6"/>
      <c r="AL56" s="6"/>
      <c r="AM56" s="6"/>
      <c r="AN56" s="6"/>
      <c r="AO56" s="6"/>
      <c r="AP56" s="6"/>
      <c r="AQ56" s="6"/>
      <c r="AR56" s="6"/>
      <c r="AS56" s="6"/>
      <c r="AT56" s="6"/>
      <c r="AU56" s="6"/>
      <c r="AV56" s="6"/>
      <c r="AW56" s="6"/>
      <c r="AX56" s="6"/>
      <c r="AY56" s="6"/>
      <c r="AZ56" s="8">
        <v>243.77</v>
      </c>
      <c r="BA56" s="6"/>
      <c r="BB56" s="8">
        <v>243.77</v>
      </c>
      <c r="BC56" s="6"/>
      <c r="BD56" s="6"/>
      <c r="BE56" s="6"/>
      <c r="BF56" s="6"/>
      <c r="BG56" s="6"/>
      <c r="BH56" s="6"/>
      <c r="BI56" s="6"/>
      <c r="BJ56" s="6"/>
      <c r="BK56" s="6"/>
      <c r="BL56" s="8">
        <v>243.77</v>
      </c>
      <c r="BM56" s="6"/>
      <c r="BN56" s="6"/>
      <c r="BO56" s="6"/>
      <c r="BP56" s="6"/>
      <c r="BQ56" s="6"/>
      <c r="BR56" s="6"/>
      <c r="BS56" s="6"/>
      <c r="BT56" s="6"/>
      <c r="BU56" s="6"/>
      <c r="BV56" s="6"/>
      <c r="BW56" s="6"/>
      <c r="BX56" s="6"/>
      <c r="BY56" s="6"/>
      <c r="BZ56" s="6"/>
      <c r="CA56" s="6"/>
      <c r="CB56" s="6"/>
      <c r="CC56" s="6"/>
      <c r="CD56" s="6"/>
      <c r="CE56" s="6"/>
      <c r="CF56" s="6"/>
      <c r="CG56" s="9">
        <v>243.77</v>
      </c>
    </row>
    <row r="57" spans="1:85" x14ac:dyDescent="0.3">
      <c r="A57" s="3" t="str">
        <f t="shared" si="2"/>
        <v>ADDDiscoverySmall Business – SBIR/STTR OperationsTotal</v>
      </c>
      <c r="B57" s="6" t="s">
        <v>81</v>
      </c>
      <c r="C57" s="6" t="s">
        <v>82</v>
      </c>
      <c r="D57" s="6" t="s">
        <v>130</v>
      </c>
      <c r="E57" s="6" t="s">
        <v>24</v>
      </c>
      <c r="F57" s="6"/>
      <c r="G57" s="6"/>
      <c r="H57" s="6"/>
      <c r="I57" s="6"/>
      <c r="J57" s="6"/>
      <c r="K57" s="6"/>
      <c r="L57" s="6"/>
      <c r="M57" s="6"/>
      <c r="N57" s="6"/>
      <c r="O57" s="6"/>
      <c r="P57" s="6"/>
      <c r="Q57" s="6"/>
      <c r="R57" s="6"/>
      <c r="S57" s="6"/>
      <c r="T57" s="6"/>
      <c r="U57" s="6"/>
      <c r="V57" s="6"/>
      <c r="W57" s="6"/>
      <c r="X57" s="6"/>
      <c r="Y57" s="8">
        <v>0</v>
      </c>
      <c r="Z57" s="6"/>
      <c r="AA57" s="8">
        <v>0</v>
      </c>
      <c r="AB57" s="6"/>
      <c r="AC57" s="6"/>
      <c r="AD57" s="6"/>
      <c r="AE57" s="6"/>
      <c r="AF57" s="6"/>
      <c r="AG57" s="6"/>
      <c r="AH57" s="6"/>
      <c r="AI57" s="6"/>
      <c r="AJ57" s="6"/>
      <c r="AK57" s="6"/>
      <c r="AL57" s="6"/>
      <c r="AM57" s="6"/>
      <c r="AN57" s="6"/>
      <c r="AO57" s="6"/>
      <c r="AP57" s="6"/>
      <c r="AQ57" s="6"/>
      <c r="AR57" s="6"/>
      <c r="AS57" s="6"/>
      <c r="AT57" s="6"/>
      <c r="AU57" s="6"/>
      <c r="AV57" s="6"/>
      <c r="AW57" s="6"/>
      <c r="AX57" s="6"/>
      <c r="AY57" s="6"/>
      <c r="AZ57" s="8">
        <v>5</v>
      </c>
      <c r="BA57" s="6"/>
      <c r="BB57" s="8">
        <v>5</v>
      </c>
      <c r="BC57" s="6"/>
      <c r="BD57" s="6"/>
      <c r="BE57" s="6"/>
      <c r="BF57" s="6"/>
      <c r="BG57" s="6"/>
      <c r="BH57" s="6"/>
      <c r="BI57" s="6"/>
      <c r="BJ57" s="6"/>
      <c r="BK57" s="6"/>
      <c r="BL57" s="8">
        <v>5</v>
      </c>
      <c r="BM57" s="6"/>
      <c r="BN57" s="6"/>
      <c r="BO57" s="6"/>
      <c r="BP57" s="6"/>
      <c r="BQ57" s="6"/>
      <c r="BR57" s="6"/>
      <c r="BS57" s="6"/>
      <c r="BT57" s="6"/>
      <c r="BU57" s="6"/>
      <c r="BV57" s="6"/>
      <c r="BW57" s="6"/>
      <c r="BX57" s="6"/>
      <c r="BY57" s="6"/>
      <c r="BZ57" s="6"/>
      <c r="CA57" s="6"/>
      <c r="CB57" s="6"/>
      <c r="CC57" s="6"/>
      <c r="CD57" s="6"/>
      <c r="CE57" s="6"/>
      <c r="CF57" s="6"/>
      <c r="CG57" s="9">
        <v>5</v>
      </c>
    </row>
    <row r="58" spans="1:85" x14ac:dyDescent="0.3">
      <c r="A58" s="3" t="str">
        <f t="shared" si="2"/>
        <v>ADDDiscoverySmall Business – STTR ProgramsTotal</v>
      </c>
      <c r="B58" s="6" t="s">
        <v>81</v>
      </c>
      <c r="C58" s="6" t="s">
        <v>82</v>
      </c>
      <c r="D58" s="6" t="s">
        <v>131</v>
      </c>
      <c r="E58" s="6" t="s">
        <v>24</v>
      </c>
      <c r="F58" s="6"/>
      <c r="G58" s="6"/>
      <c r="H58" s="6"/>
      <c r="I58" s="6"/>
      <c r="J58" s="6"/>
      <c r="K58" s="6"/>
      <c r="L58" s="6"/>
      <c r="M58" s="6"/>
      <c r="N58" s="6"/>
      <c r="O58" s="6"/>
      <c r="P58" s="6"/>
      <c r="Q58" s="6"/>
      <c r="R58" s="6"/>
      <c r="S58" s="6"/>
      <c r="T58" s="6"/>
      <c r="U58" s="6"/>
      <c r="V58" s="6"/>
      <c r="W58" s="6"/>
      <c r="X58" s="6"/>
      <c r="Y58" s="8">
        <v>0</v>
      </c>
      <c r="Z58" s="6"/>
      <c r="AA58" s="8">
        <v>0</v>
      </c>
      <c r="AB58" s="6"/>
      <c r="AC58" s="6"/>
      <c r="AD58" s="6"/>
      <c r="AE58" s="6"/>
      <c r="AF58" s="6"/>
      <c r="AG58" s="6"/>
      <c r="AH58" s="6"/>
      <c r="AI58" s="6"/>
      <c r="AJ58" s="6"/>
      <c r="AK58" s="6"/>
      <c r="AL58" s="6"/>
      <c r="AM58" s="6"/>
      <c r="AN58" s="6"/>
      <c r="AO58" s="6"/>
      <c r="AP58" s="6"/>
      <c r="AQ58" s="6"/>
      <c r="AR58" s="6"/>
      <c r="AS58" s="6"/>
      <c r="AT58" s="6"/>
      <c r="AU58" s="6"/>
      <c r="AV58" s="6"/>
      <c r="AW58" s="6"/>
      <c r="AX58" s="6"/>
      <c r="AY58" s="6"/>
      <c r="AZ58" s="8">
        <v>34.29</v>
      </c>
      <c r="BA58" s="6"/>
      <c r="BB58" s="8">
        <v>34.29</v>
      </c>
      <c r="BC58" s="6"/>
      <c r="BD58" s="6"/>
      <c r="BE58" s="6"/>
      <c r="BF58" s="6"/>
      <c r="BG58" s="6"/>
      <c r="BH58" s="6"/>
      <c r="BI58" s="6"/>
      <c r="BJ58" s="6"/>
      <c r="BK58" s="6"/>
      <c r="BL58" s="8">
        <v>34.29</v>
      </c>
      <c r="BM58" s="6"/>
      <c r="BN58" s="6"/>
      <c r="BO58" s="6"/>
      <c r="BP58" s="6"/>
      <c r="BQ58" s="6"/>
      <c r="BR58" s="6"/>
      <c r="BS58" s="6"/>
      <c r="BT58" s="6"/>
      <c r="BU58" s="6"/>
      <c r="BV58" s="6"/>
      <c r="BW58" s="6"/>
      <c r="BX58" s="6"/>
      <c r="BY58" s="6"/>
      <c r="BZ58" s="6"/>
      <c r="CA58" s="6"/>
      <c r="CB58" s="6"/>
      <c r="CC58" s="6"/>
      <c r="CD58" s="6"/>
      <c r="CE58" s="6"/>
      <c r="CF58" s="6"/>
      <c r="CG58" s="9">
        <v>34.29</v>
      </c>
    </row>
    <row r="59" spans="1:85" x14ac:dyDescent="0.3">
      <c r="A59" s="3" t="str">
        <f t="shared" si="2"/>
        <v>ADDDiscoveryTribal Colleges &amp; Universities Program (TCUP)Total</v>
      </c>
      <c r="B59" s="6" t="s">
        <v>81</v>
      </c>
      <c r="C59" s="6" t="s">
        <v>82</v>
      </c>
      <c r="D59" s="6" t="s">
        <v>132</v>
      </c>
      <c r="E59" s="6" t="s">
        <v>24</v>
      </c>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8">
        <v>23</v>
      </c>
      <c r="BQ59" s="6"/>
      <c r="BR59" s="8">
        <v>23</v>
      </c>
      <c r="BS59" s="8">
        <v>23</v>
      </c>
      <c r="BT59" s="6"/>
      <c r="BU59" s="6"/>
      <c r="BV59" s="6"/>
      <c r="BW59" s="6"/>
      <c r="BX59" s="6"/>
      <c r="BY59" s="6"/>
      <c r="BZ59" s="6"/>
      <c r="CA59" s="6"/>
      <c r="CB59" s="6"/>
      <c r="CC59" s="6"/>
      <c r="CD59" s="6"/>
      <c r="CE59" s="6"/>
      <c r="CF59" s="6"/>
      <c r="CG59" s="9">
        <v>23</v>
      </c>
    </row>
    <row r="60" spans="1:85" x14ac:dyDescent="0.3">
      <c r="A60" s="3" t="str">
        <f t="shared" si="2"/>
        <v>ADDLearningTotalTotal</v>
      </c>
      <c r="B60" s="6" t="s">
        <v>81</v>
      </c>
      <c r="C60" s="6" t="s">
        <v>133</v>
      </c>
      <c r="D60" s="6" t="s">
        <v>24</v>
      </c>
      <c r="E60" s="6" t="s">
        <v>24</v>
      </c>
      <c r="F60" s="8">
        <v>31</v>
      </c>
      <c r="G60" s="8">
        <v>2.5</v>
      </c>
      <c r="H60" s="8">
        <v>68</v>
      </c>
      <c r="I60" s="8">
        <v>4.8</v>
      </c>
      <c r="J60" s="8">
        <v>2</v>
      </c>
      <c r="K60" s="6"/>
      <c r="L60" s="8">
        <v>108.3</v>
      </c>
      <c r="M60" s="8">
        <v>13.8</v>
      </c>
      <c r="N60" s="8">
        <v>16.100000000000001</v>
      </c>
      <c r="O60" s="8">
        <v>14.2</v>
      </c>
      <c r="P60" s="8">
        <v>3.55</v>
      </c>
      <c r="Q60" s="8">
        <v>10.35</v>
      </c>
      <c r="R60" s="6"/>
      <c r="S60" s="8">
        <v>58</v>
      </c>
      <c r="T60" s="8">
        <v>1.5</v>
      </c>
      <c r="U60" s="8">
        <v>2.4</v>
      </c>
      <c r="V60" s="8">
        <v>0.92</v>
      </c>
      <c r="W60" s="8">
        <v>19.2</v>
      </c>
      <c r="X60" s="8">
        <v>0.12</v>
      </c>
      <c r="Y60" s="8">
        <v>0</v>
      </c>
      <c r="Z60" s="6"/>
      <c r="AA60" s="8">
        <v>24.14</v>
      </c>
      <c r="AB60" s="8">
        <v>4.68</v>
      </c>
      <c r="AC60" s="8">
        <v>9.1999999999999993</v>
      </c>
      <c r="AD60" s="8">
        <v>10.96</v>
      </c>
      <c r="AE60" s="8">
        <v>5</v>
      </c>
      <c r="AF60" s="8">
        <v>5</v>
      </c>
      <c r="AG60" s="6"/>
      <c r="AH60" s="8">
        <v>34.840000000000003</v>
      </c>
      <c r="AI60" s="8">
        <v>6.1</v>
      </c>
      <c r="AJ60" s="8">
        <v>4.5199999999999996</v>
      </c>
      <c r="AK60" s="8">
        <v>2.5</v>
      </c>
      <c r="AL60" s="8">
        <v>14.15</v>
      </c>
      <c r="AM60" s="8">
        <v>29</v>
      </c>
      <c r="AN60" s="8">
        <v>4.92</v>
      </c>
      <c r="AO60" s="6"/>
      <c r="AP60" s="8">
        <v>61.19</v>
      </c>
      <c r="AQ60" s="8">
        <v>0.44</v>
      </c>
      <c r="AR60" s="6"/>
      <c r="AS60" s="8">
        <v>12.06</v>
      </c>
      <c r="AT60" s="8">
        <v>0.5</v>
      </c>
      <c r="AU60" s="6"/>
      <c r="AV60" s="8">
        <v>13</v>
      </c>
      <c r="AW60" s="8">
        <v>10</v>
      </c>
      <c r="AX60" s="6"/>
      <c r="AY60" s="8">
        <v>20</v>
      </c>
      <c r="AZ60" s="8">
        <v>15</v>
      </c>
      <c r="BA60" s="6"/>
      <c r="BB60" s="8">
        <v>45</v>
      </c>
      <c r="BC60" s="8">
        <v>10</v>
      </c>
      <c r="BD60" s="8">
        <v>10</v>
      </c>
      <c r="BE60" s="6"/>
      <c r="BF60" s="8">
        <v>5.4</v>
      </c>
      <c r="BG60" s="8">
        <v>5.4</v>
      </c>
      <c r="BH60" s="6"/>
      <c r="BI60" s="6"/>
      <c r="BJ60" s="6"/>
      <c r="BK60" s="6"/>
      <c r="BL60" s="8">
        <v>359.87</v>
      </c>
      <c r="BM60" s="8">
        <v>498.01</v>
      </c>
      <c r="BN60" s="8">
        <v>10</v>
      </c>
      <c r="BO60" s="8">
        <v>142</v>
      </c>
      <c r="BP60" s="8">
        <v>98.64</v>
      </c>
      <c r="BQ60" s="8">
        <v>-13.86</v>
      </c>
      <c r="BR60" s="8">
        <v>734.79</v>
      </c>
      <c r="BS60" s="8">
        <v>734.79</v>
      </c>
      <c r="BT60" s="6"/>
      <c r="BU60" s="6"/>
      <c r="BV60" s="6"/>
      <c r="BW60" s="6"/>
      <c r="BX60" s="6"/>
      <c r="BY60" s="6"/>
      <c r="BZ60" s="6"/>
      <c r="CA60" s="6"/>
      <c r="CB60" s="6"/>
      <c r="CC60" s="6"/>
      <c r="CD60" s="6"/>
      <c r="CE60" s="6"/>
      <c r="CF60" s="6"/>
      <c r="CG60" s="9">
        <v>1094.6600000000001</v>
      </c>
    </row>
    <row r="61" spans="1:85" x14ac:dyDescent="0.3">
      <c r="A61" s="3" t="str">
        <f t="shared" si="2"/>
        <v>ADDLearningADVANCETotal</v>
      </c>
      <c r="B61" s="6" t="s">
        <v>81</v>
      </c>
      <c r="C61" s="6" t="s">
        <v>133</v>
      </c>
      <c r="D61" s="6" t="s">
        <v>134</v>
      </c>
      <c r="E61" s="6" t="s">
        <v>24</v>
      </c>
      <c r="F61" s="6"/>
      <c r="G61" s="6"/>
      <c r="H61" s="6"/>
      <c r="I61" s="6"/>
      <c r="J61" s="6"/>
      <c r="K61" s="6"/>
      <c r="L61" s="6"/>
      <c r="M61" s="6"/>
      <c r="N61" s="8">
        <v>0</v>
      </c>
      <c r="O61" s="6"/>
      <c r="P61" s="6"/>
      <c r="Q61" s="6"/>
      <c r="R61" s="6"/>
      <c r="S61" s="8">
        <v>0</v>
      </c>
      <c r="T61" s="8">
        <v>0</v>
      </c>
      <c r="U61" s="8">
        <v>0</v>
      </c>
      <c r="V61" s="6"/>
      <c r="W61" s="6"/>
      <c r="X61" s="8">
        <v>0</v>
      </c>
      <c r="Y61" s="6"/>
      <c r="Z61" s="6"/>
      <c r="AA61" s="8">
        <v>0</v>
      </c>
      <c r="AB61" s="6"/>
      <c r="AC61" s="6"/>
      <c r="AD61" s="6"/>
      <c r="AE61" s="8">
        <v>0</v>
      </c>
      <c r="AF61" s="6"/>
      <c r="AG61" s="6"/>
      <c r="AH61" s="8">
        <v>0</v>
      </c>
      <c r="AI61" s="6"/>
      <c r="AJ61" s="8">
        <v>0</v>
      </c>
      <c r="AK61" s="6"/>
      <c r="AL61" s="6"/>
      <c r="AM61" s="8">
        <v>0</v>
      </c>
      <c r="AN61" s="6"/>
      <c r="AO61" s="6"/>
      <c r="AP61" s="8">
        <v>0</v>
      </c>
      <c r="AQ61" s="8">
        <v>0</v>
      </c>
      <c r="AR61" s="6"/>
      <c r="AS61" s="6"/>
      <c r="AT61" s="8">
        <v>0</v>
      </c>
      <c r="AU61" s="6"/>
      <c r="AV61" s="8">
        <v>0</v>
      </c>
      <c r="AW61" s="6"/>
      <c r="AX61" s="6"/>
      <c r="AY61" s="6"/>
      <c r="AZ61" s="6"/>
      <c r="BA61" s="6"/>
      <c r="BB61" s="6"/>
      <c r="BC61" s="6"/>
      <c r="BD61" s="6"/>
      <c r="BE61" s="6"/>
      <c r="BF61" s="6"/>
      <c r="BG61" s="6"/>
      <c r="BH61" s="6"/>
      <c r="BI61" s="6"/>
      <c r="BJ61" s="6"/>
      <c r="BK61" s="6"/>
      <c r="BL61" s="8">
        <v>0</v>
      </c>
      <c r="BM61" s="6"/>
      <c r="BN61" s="6"/>
      <c r="BO61" s="6"/>
      <c r="BP61" s="8">
        <v>20.5</v>
      </c>
      <c r="BQ61" s="6"/>
      <c r="BR61" s="8">
        <v>20.5</v>
      </c>
      <c r="BS61" s="8">
        <v>20.5</v>
      </c>
      <c r="BT61" s="6"/>
      <c r="BU61" s="6"/>
      <c r="BV61" s="6"/>
      <c r="BW61" s="6"/>
      <c r="BX61" s="6"/>
      <c r="BY61" s="6"/>
      <c r="BZ61" s="6"/>
      <c r="CA61" s="6"/>
      <c r="CB61" s="6"/>
      <c r="CC61" s="6"/>
      <c r="CD61" s="6"/>
      <c r="CE61" s="6"/>
      <c r="CF61" s="6"/>
      <c r="CG61" s="9">
        <v>20.5</v>
      </c>
    </row>
    <row r="62" spans="1:85" x14ac:dyDescent="0.3">
      <c r="A62" s="3" t="str">
        <f t="shared" si="2"/>
        <v>ADDLearningAdvanced Technological Education (ATE)Total</v>
      </c>
      <c r="B62" s="6" t="s">
        <v>81</v>
      </c>
      <c r="C62" s="6" t="s">
        <v>133</v>
      </c>
      <c r="D62" s="6" t="s">
        <v>135</v>
      </c>
      <c r="E62" s="6" t="s">
        <v>24</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8">
        <v>75</v>
      </c>
      <c r="BP62" s="6"/>
      <c r="BQ62" s="6"/>
      <c r="BR62" s="8">
        <v>75</v>
      </c>
      <c r="BS62" s="8">
        <v>75</v>
      </c>
      <c r="BT62" s="6"/>
      <c r="BU62" s="6"/>
      <c r="BV62" s="6"/>
      <c r="BW62" s="6"/>
      <c r="BX62" s="6"/>
      <c r="BY62" s="6"/>
      <c r="BZ62" s="6"/>
      <c r="CA62" s="6"/>
      <c r="CB62" s="6"/>
      <c r="CC62" s="6"/>
      <c r="CD62" s="6"/>
      <c r="CE62" s="6"/>
      <c r="CF62" s="6"/>
      <c r="CG62" s="9">
        <v>75</v>
      </c>
    </row>
    <row r="63" spans="1:85" x14ac:dyDescent="0.3">
      <c r="A63" s="3" t="str">
        <f t="shared" si="2"/>
        <v>ADDLearningAstronomy &amp; Astrophysics Postdoctoral Fellowships (AAPF)Total</v>
      </c>
      <c r="B63" s="6" t="s">
        <v>81</v>
      </c>
      <c r="C63" s="6" t="s">
        <v>133</v>
      </c>
      <c r="D63" s="6" t="s">
        <v>136</v>
      </c>
      <c r="E63" s="6" t="s">
        <v>24</v>
      </c>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8">
        <v>2.4</v>
      </c>
      <c r="AJ63" s="6"/>
      <c r="AK63" s="6"/>
      <c r="AL63" s="6"/>
      <c r="AM63" s="8">
        <v>3</v>
      </c>
      <c r="AN63" s="6"/>
      <c r="AO63" s="6"/>
      <c r="AP63" s="8">
        <v>5.4</v>
      </c>
      <c r="AQ63" s="6"/>
      <c r="AR63" s="6"/>
      <c r="AS63" s="6"/>
      <c r="AT63" s="6"/>
      <c r="AU63" s="6"/>
      <c r="AV63" s="6"/>
      <c r="AW63" s="6"/>
      <c r="AX63" s="6"/>
      <c r="AY63" s="6"/>
      <c r="AZ63" s="6"/>
      <c r="BA63" s="6"/>
      <c r="BB63" s="6"/>
      <c r="BC63" s="6"/>
      <c r="BD63" s="6"/>
      <c r="BE63" s="6"/>
      <c r="BF63" s="6"/>
      <c r="BG63" s="6"/>
      <c r="BH63" s="6"/>
      <c r="BI63" s="6"/>
      <c r="BJ63" s="6"/>
      <c r="BK63" s="6"/>
      <c r="BL63" s="8">
        <v>5.4</v>
      </c>
      <c r="BM63" s="6"/>
      <c r="BN63" s="6"/>
      <c r="BO63" s="6"/>
      <c r="BP63" s="6"/>
      <c r="BQ63" s="6"/>
      <c r="BR63" s="6"/>
      <c r="BS63" s="6"/>
      <c r="BT63" s="6"/>
      <c r="BU63" s="6"/>
      <c r="BV63" s="6"/>
      <c r="BW63" s="6"/>
      <c r="BX63" s="6"/>
      <c r="BY63" s="6"/>
      <c r="BZ63" s="6"/>
      <c r="CA63" s="6"/>
      <c r="CB63" s="6"/>
      <c r="CC63" s="6"/>
      <c r="CD63" s="6"/>
      <c r="CE63" s="6"/>
      <c r="CF63" s="6"/>
      <c r="CG63" s="9">
        <v>5.4</v>
      </c>
    </row>
    <row r="64" spans="1:85" x14ac:dyDescent="0.3">
      <c r="A64" s="3" t="str">
        <f t="shared" si="2"/>
        <v>ADDLearningComputer Science for All (CSforAll)Total</v>
      </c>
      <c r="B64" s="6" t="s">
        <v>81</v>
      </c>
      <c r="C64" s="6" t="s">
        <v>133</v>
      </c>
      <c r="D64" s="6" t="s">
        <v>138</v>
      </c>
      <c r="E64" s="6" t="s">
        <v>24</v>
      </c>
      <c r="F64" s="6"/>
      <c r="G64" s="6"/>
      <c r="H64" s="6"/>
      <c r="I64" s="6"/>
      <c r="J64" s="6"/>
      <c r="K64" s="6"/>
      <c r="L64" s="6"/>
      <c r="M64" s="8">
        <v>4.5</v>
      </c>
      <c r="N64" s="8">
        <v>5.5</v>
      </c>
      <c r="O64" s="8">
        <v>4.5</v>
      </c>
      <c r="P64" s="6"/>
      <c r="Q64" s="8">
        <v>0</v>
      </c>
      <c r="R64" s="6"/>
      <c r="S64" s="8">
        <v>14.5</v>
      </c>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8">
        <v>14.5</v>
      </c>
      <c r="BM64" s="6"/>
      <c r="BN64" s="8">
        <v>10</v>
      </c>
      <c r="BO64" s="6"/>
      <c r="BP64" s="6"/>
      <c r="BQ64" s="6"/>
      <c r="BR64" s="8">
        <v>10</v>
      </c>
      <c r="BS64" s="8">
        <v>10</v>
      </c>
      <c r="BT64" s="6"/>
      <c r="BU64" s="6"/>
      <c r="BV64" s="6"/>
      <c r="BW64" s="6"/>
      <c r="BX64" s="6"/>
      <c r="BY64" s="6"/>
      <c r="BZ64" s="6"/>
      <c r="CA64" s="6"/>
      <c r="CB64" s="6"/>
      <c r="CC64" s="6"/>
      <c r="CD64" s="6"/>
      <c r="CE64" s="6"/>
      <c r="CF64" s="6"/>
      <c r="CG64" s="9">
        <v>24.5</v>
      </c>
    </row>
    <row r="65" spans="1:85" x14ac:dyDescent="0.3">
      <c r="A65" s="3" t="str">
        <f t="shared" si="2"/>
        <v>ADDLearningComputing WorkforceTotal</v>
      </c>
      <c r="B65" s="6" t="s">
        <v>81</v>
      </c>
      <c r="C65" s="6" t="s">
        <v>133</v>
      </c>
      <c r="D65" s="6" t="s">
        <v>139</v>
      </c>
      <c r="E65" s="6" t="s">
        <v>24</v>
      </c>
      <c r="F65" s="6"/>
      <c r="G65" s="6"/>
      <c r="H65" s="6"/>
      <c r="I65" s="6"/>
      <c r="J65" s="6"/>
      <c r="K65" s="6"/>
      <c r="L65" s="6"/>
      <c r="M65" s="8">
        <v>4.5</v>
      </c>
      <c r="N65" s="8">
        <v>5</v>
      </c>
      <c r="O65" s="8">
        <v>4.5</v>
      </c>
      <c r="P65" s="8">
        <v>3.55</v>
      </c>
      <c r="Q65" s="8">
        <v>3.15</v>
      </c>
      <c r="R65" s="6"/>
      <c r="S65" s="8">
        <v>20.7</v>
      </c>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8">
        <v>20.7</v>
      </c>
      <c r="BM65" s="6"/>
      <c r="BN65" s="6"/>
      <c r="BO65" s="6"/>
      <c r="BP65" s="6"/>
      <c r="BQ65" s="6"/>
      <c r="BR65" s="6"/>
      <c r="BS65" s="6"/>
      <c r="BT65" s="6"/>
      <c r="BU65" s="6"/>
      <c r="BV65" s="6"/>
      <c r="BW65" s="6"/>
      <c r="BX65" s="6"/>
      <c r="BY65" s="6"/>
      <c r="BZ65" s="6"/>
      <c r="CA65" s="6"/>
      <c r="CB65" s="6"/>
      <c r="CC65" s="6"/>
      <c r="CD65" s="6"/>
      <c r="CE65" s="6"/>
      <c r="CF65" s="6"/>
      <c r="CG65" s="9">
        <v>20.7</v>
      </c>
    </row>
    <row r="66" spans="1:85" x14ac:dyDescent="0.3">
      <c r="A66" s="3" t="str">
        <f t="shared" si="2"/>
        <v>ADDLearningCybercorps: Scholarships for Service (SFS)Total</v>
      </c>
      <c r="B66" s="6" t="s">
        <v>81</v>
      </c>
      <c r="C66" s="6" t="s">
        <v>133</v>
      </c>
      <c r="D66" s="6" t="s">
        <v>140</v>
      </c>
      <c r="E66" s="6" t="s">
        <v>24</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8">
        <v>75</v>
      </c>
      <c r="BN66" s="6"/>
      <c r="BO66" s="6"/>
      <c r="BP66" s="6"/>
      <c r="BQ66" s="6"/>
      <c r="BR66" s="8">
        <v>75</v>
      </c>
      <c r="BS66" s="8">
        <v>75</v>
      </c>
      <c r="BT66" s="6"/>
      <c r="BU66" s="6"/>
      <c r="BV66" s="6"/>
      <c r="BW66" s="6"/>
      <c r="BX66" s="6"/>
      <c r="BY66" s="6"/>
      <c r="BZ66" s="6"/>
      <c r="CA66" s="6"/>
      <c r="CB66" s="6"/>
      <c r="CC66" s="6"/>
      <c r="CD66" s="6"/>
      <c r="CE66" s="6"/>
      <c r="CF66" s="6"/>
      <c r="CG66" s="9">
        <v>75</v>
      </c>
    </row>
    <row r="67" spans="1:85" x14ac:dyDescent="0.3">
      <c r="A67" s="3" t="str">
        <f t="shared" si="2"/>
        <v>ADDLearningCyberTrainingTotal</v>
      </c>
      <c r="B67" s="6" t="s">
        <v>81</v>
      </c>
      <c r="C67" s="6" t="s">
        <v>133</v>
      </c>
      <c r="D67" s="6" t="s">
        <v>141</v>
      </c>
      <c r="E67" s="6" t="s">
        <v>24</v>
      </c>
      <c r="F67" s="6"/>
      <c r="G67" s="6"/>
      <c r="H67" s="6"/>
      <c r="I67" s="6"/>
      <c r="J67" s="6"/>
      <c r="K67" s="6"/>
      <c r="L67" s="6"/>
      <c r="M67" s="6"/>
      <c r="N67" s="6"/>
      <c r="O67" s="6"/>
      <c r="P67" s="6"/>
      <c r="Q67" s="8">
        <v>6</v>
      </c>
      <c r="R67" s="6"/>
      <c r="S67" s="8">
        <v>6</v>
      </c>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8">
        <v>6</v>
      </c>
      <c r="BM67" s="6"/>
      <c r="BN67" s="6"/>
      <c r="BO67" s="6"/>
      <c r="BP67" s="6"/>
      <c r="BQ67" s="6"/>
      <c r="BR67" s="6"/>
      <c r="BS67" s="6"/>
      <c r="BT67" s="6"/>
      <c r="BU67" s="6"/>
      <c r="BV67" s="6"/>
      <c r="BW67" s="6"/>
      <c r="BX67" s="6"/>
      <c r="BY67" s="6"/>
      <c r="BZ67" s="6"/>
      <c r="CA67" s="6"/>
      <c r="CB67" s="6"/>
      <c r="CC67" s="6"/>
      <c r="CD67" s="6"/>
      <c r="CE67" s="6"/>
      <c r="CF67" s="6"/>
      <c r="CG67" s="9">
        <v>6</v>
      </c>
    </row>
    <row r="68" spans="1:85" x14ac:dyDescent="0.3">
      <c r="A68" s="3" t="str">
        <f t="shared" si="2"/>
        <v>ADDLearningEntrepreneurial FellowsTotal</v>
      </c>
      <c r="B68" s="6" t="s">
        <v>81</v>
      </c>
      <c r="C68" s="6" t="s">
        <v>133</v>
      </c>
      <c r="D68" s="6" t="s">
        <v>142</v>
      </c>
      <c r="E68" s="6" t="s">
        <v>24</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8">
        <v>10</v>
      </c>
      <c r="AZ68" s="8">
        <v>15</v>
      </c>
      <c r="BA68" s="6"/>
      <c r="BB68" s="8">
        <v>25</v>
      </c>
      <c r="BC68" s="6"/>
      <c r="BD68" s="6"/>
      <c r="BE68" s="6"/>
      <c r="BF68" s="6"/>
      <c r="BG68" s="6"/>
      <c r="BH68" s="6"/>
      <c r="BI68" s="6"/>
      <c r="BJ68" s="6"/>
      <c r="BK68" s="6"/>
      <c r="BL68" s="8">
        <v>25</v>
      </c>
      <c r="BM68" s="6"/>
      <c r="BN68" s="6"/>
      <c r="BO68" s="6"/>
      <c r="BP68" s="6"/>
      <c r="BQ68" s="6"/>
      <c r="BR68" s="6"/>
      <c r="BS68" s="6"/>
      <c r="BT68" s="6"/>
      <c r="BU68" s="6"/>
      <c r="BV68" s="6"/>
      <c r="BW68" s="6"/>
      <c r="BX68" s="6"/>
      <c r="BY68" s="6"/>
      <c r="BZ68" s="6"/>
      <c r="CA68" s="6"/>
      <c r="CB68" s="6"/>
      <c r="CC68" s="6"/>
      <c r="CD68" s="6"/>
      <c r="CE68" s="6"/>
      <c r="CF68" s="6"/>
      <c r="CG68" s="9">
        <v>25</v>
      </c>
    </row>
    <row r="69" spans="1:85" x14ac:dyDescent="0.3">
      <c r="A69" s="3" t="str">
        <f t="shared" si="2"/>
        <v>ADDLearningExcellence Awards in Science &amp; Engineering (EASE)Total</v>
      </c>
      <c r="B69" s="6" t="s">
        <v>81</v>
      </c>
      <c r="C69" s="6" t="s">
        <v>133</v>
      </c>
      <c r="D69" s="6" t="s">
        <v>143</v>
      </c>
      <c r="E69" s="6" t="s">
        <v>24</v>
      </c>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8">
        <v>7.64</v>
      </c>
      <c r="BQ69" s="6"/>
      <c r="BR69" s="8">
        <v>7.64</v>
      </c>
      <c r="BS69" s="8">
        <v>7.64</v>
      </c>
      <c r="BT69" s="6"/>
      <c r="BU69" s="6"/>
      <c r="BV69" s="6"/>
      <c r="BW69" s="6"/>
      <c r="BX69" s="6"/>
      <c r="BY69" s="6"/>
      <c r="BZ69" s="6"/>
      <c r="CA69" s="6"/>
      <c r="CB69" s="6"/>
      <c r="CC69" s="6"/>
      <c r="CD69" s="6"/>
      <c r="CE69" s="6"/>
      <c r="CF69" s="6"/>
      <c r="CG69" s="9">
        <v>7.64</v>
      </c>
    </row>
    <row r="70" spans="1:85" x14ac:dyDescent="0.3">
      <c r="A70" s="3" t="str">
        <f t="shared" si="2"/>
        <v>ADDLearningExperiential Learning for Emerging and Novel Technologies (ExLENT)Total</v>
      </c>
      <c r="B70" s="6" t="s">
        <v>81</v>
      </c>
      <c r="C70" s="6" t="s">
        <v>133</v>
      </c>
      <c r="D70" s="6" t="s">
        <v>351</v>
      </c>
      <c r="E70" s="6" t="s">
        <v>24</v>
      </c>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8">
        <v>10</v>
      </c>
      <c r="AX70" s="6"/>
      <c r="AY70" s="8">
        <v>10</v>
      </c>
      <c r="AZ70" s="6"/>
      <c r="BA70" s="6"/>
      <c r="BB70" s="8">
        <v>20</v>
      </c>
      <c r="BC70" s="6"/>
      <c r="BD70" s="6"/>
      <c r="BE70" s="6"/>
      <c r="BF70" s="6"/>
      <c r="BG70" s="6"/>
      <c r="BH70" s="6"/>
      <c r="BI70" s="6"/>
      <c r="BJ70" s="6"/>
      <c r="BK70" s="6"/>
      <c r="BL70" s="8">
        <v>20</v>
      </c>
      <c r="BM70" s="6"/>
      <c r="BN70" s="6"/>
      <c r="BO70" s="6"/>
      <c r="BP70" s="6"/>
      <c r="BQ70" s="6"/>
      <c r="BR70" s="6"/>
      <c r="BS70" s="6"/>
      <c r="BT70" s="6"/>
      <c r="BU70" s="6"/>
      <c r="BV70" s="6"/>
      <c r="BW70" s="6"/>
      <c r="BX70" s="6"/>
      <c r="BY70" s="6"/>
      <c r="BZ70" s="6"/>
      <c r="CA70" s="6"/>
      <c r="CB70" s="6"/>
      <c r="CC70" s="6"/>
      <c r="CD70" s="6"/>
      <c r="CE70" s="6"/>
      <c r="CF70" s="6"/>
      <c r="CG70" s="9">
        <v>20</v>
      </c>
    </row>
    <row r="71" spans="1:85" x14ac:dyDescent="0.3">
      <c r="A71" s="3" t="str">
        <f t="shared" si="2"/>
        <v>ADDLearningGeosciences Disciplinary EducationTotal</v>
      </c>
      <c r="B71" s="6" t="s">
        <v>81</v>
      </c>
      <c r="C71" s="6" t="s">
        <v>133</v>
      </c>
      <c r="D71" s="6" t="s">
        <v>144</v>
      </c>
      <c r="E71" s="6" t="s">
        <v>24</v>
      </c>
      <c r="F71" s="6"/>
      <c r="G71" s="6"/>
      <c r="H71" s="6"/>
      <c r="I71" s="6"/>
      <c r="J71" s="6"/>
      <c r="K71" s="6"/>
      <c r="L71" s="6"/>
      <c r="M71" s="6"/>
      <c r="N71" s="6"/>
      <c r="O71" s="6"/>
      <c r="P71" s="6"/>
      <c r="Q71" s="6"/>
      <c r="R71" s="6"/>
      <c r="S71" s="6"/>
      <c r="T71" s="6"/>
      <c r="U71" s="6"/>
      <c r="V71" s="6"/>
      <c r="W71" s="6"/>
      <c r="X71" s="6"/>
      <c r="Y71" s="6"/>
      <c r="Z71" s="6"/>
      <c r="AA71" s="6"/>
      <c r="AB71" s="8">
        <v>0.14000000000000001</v>
      </c>
      <c r="AC71" s="8">
        <v>0.4</v>
      </c>
      <c r="AD71" s="8">
        <v>0.28000000000000003</v>
      </c>
      <c r="AE71" s="8">
        <v>0.8</v>
      </c>
      <c r="AF71" s="8">
        <v>5</v>
      </c>
      <c r="AG71" s="6"/>
      <c r="AH71" s="8">
        <v>6.62</v>
      </c>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8">
        <v>6.62</v>
      </c>
      <c r="BM71" s="6"/>
      <c r="BN71" s="6"/>
      <c r="BO71" s="6"/>
      <c r="BP71" s="6"/>
      <c r="BQ71" s="6"/>
      <c r="BR71" s="6"/>
      <c r="BS71" s="6"/>
      <c r="BT71" s="6"/>
      <c r="BU71" s="6"/>
      <c r="BV71" s="6"/>
      <c r="BW71" s="6"/>
      <c r="BX71" s="6"/>
      <c r="BY71" s="6"/>
      <c r="BZ71" s="6"/>
      <c r="CA71" s="6"/>
      <c r="CB71" s="6"/>
      <c r="CC71" s="6"/>
      <c r="CD71" s="6"/>
      <c r="CE71" s="6"/>
      <c r="CF71" s="6"/>
      <c r="CG71" s="9">
        <v>6.62</v>
      </c>
    </row>
    <row r="72" spans="1:85" x14ac:dyDescent="0.3">
      <c r="A72" s="3" t="str">
        <f t="shared" si="2"/>
        <v>ADDLearningGeosciences Postdoctoral FellowshipsTotal</v>
      </c>
      <c r="B72" s="6" t="s">
        <v>81</v>
      </c>
      <c r="C72" s="6" t="s">
        <v>133</v>
      </c>
      <c r="D72" s="6" t="s">
        <v>145</v>
      </c>
      <c r="E72" s="6" t="s">
        <v>24</v>
      </c>
      <c r="F72" s="6"/>
      <c r="G72" s="6"/>
      <c r="H72" s="6"/>
      <c r="I72" s="6"/>
      <c r="J72" s="6"/>
      <c r="K72" s="6"/>
      <c r="L72" s="6"/>
      <c r="M72" s="6"/>
      <c r="N72" s="6"/>
      <c r="O72" s="6"/>
      <c r="P72" s="6"/>
      <c r="Q72" s="6"/>
      <c r="R72" s="6"/>
      <c r="S72" s="6"/>
      <c r="T72" s="6"/>
      <c r="U72" s="6"/>
      <c r="V72" s="6"/>
      <c r="W72" s="6"/>
      <c r="X72" s="6"/>
      <c r="Y72" s="6"/>
      <c r="Z72" s="6"/>
      <c r="AA72" s="6"/>
      <c r="AB72" s="8">
        <v>2.5099999999999998</v>
      </c>
      <c r="AC72" s="8">
        <v>5</v>
      </c>
      <c r="AD72" s="8">
        <v>5.83</v>
      </c>
      <c r="AE72" s="8">
        <v>3.8</v>
      </c>
      <c r="AF72" s="6"/>
      <c r="AG72" s="6"/>
      <c r="AH72" s="8">
        <v>17.14</v>
      </c>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8">
        <v>17.14</v>
      </c>
      <c r="BM72" s="6"/>
      <c r="BN72" s="6"/>
      <c r="BO72" s="6"/>
      <c r="BP72" s="6"/>
      <c r="BQ72" s="6"/>
      <c r="BR72" s="6"/>
      <c r="BS72" s="6"/>
      <c r="BT72" s="6"/>
      <c r="BU72" s="6"/>
      <c r="BV72" s="6"/>
      <c r="BW72" s="6"/>
      <c r="BX72" s="6"/>
      <c r="BY72" s="6"/>
      <c r="BZ72" s="6"/>
      <c r="CA72" s="6"/>
      <c r="CB72" s="6"/>
      <c r="CC72" s="6"/>
      <c r="CD72" s="6"/>
      <c r="CE72" s="6"/>
      <c r="CF72" s="6"/>
      <c r="CG72" s="9">
        <v>17.14</v>
      </c>
    </row>
    <row r="73" spans="1:85" x14ac:dyDescent="0.3">
      <c r="A73" s="3" t="str">
        <f t="shared" ref="A73:A136" si="3">CONCATENATE(B73,C73,D73,E73)</f>
        <v>ADDLearningGraduate Research Fellowship Program (GRFP)Total</v>
      </c>
      <c r="B73" s="6" t="s">
        <v>81</v>
      </c>
      <c r="C73" s="6" t="s">
        <v>133</v>
      </c>
      <c r="D73" s="6" t="s">
        <v>146</v>
      </c>
      <c r="E73" s="6" t="s">
        <v>24</v>
      </c>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8">
        <v>0</v>
      </c>
      <c r="BG73" s="8">
        <v>0</v>
      </c>
      <c r="BH73" s="6"/>
      <c r="BI73" s="6"/>
      <c r="BJ73" s="6"/>
      <c r="BK73" s="6"/>
      <c r="BL73" s="8">
        <v>0</v>
      </c>
      <c r="BM73" s="8">
        <v>355.51</v>
      </c>
      <c r="BN73" s="6"/>
      <c r="BO73" s="6"/>
      <c r="BP73" s="6"/>
      <c r="BQ73" s="6"/>
      <c r="BR73" s="8">
        <v>355.51</v>
      </c>
      <c r="BS73" s="8">
        <v>355.51</v>
      </c>
      <c r="BT73" s="6"/>
      <c r="BU73" s="6"/>
      <c r="BV73" s="6"/>
      <c r="BW73" s="6"/>
      <c r="BX73" s="6"/>
      <c r="BY73" s="6"/>
      <c r="BZ73" s="6"/>
      <c r="CA73" s="6"/>
      <c r="CB73" s="6"/>
      <c r="CC73" s="6"/>
      <c r="CD73" s="6"/>
      <c r="CE73" s="6"/>
      <c r="CF73" s="6"/>
      <c r="CG73" s="9">
        <v>355.51</v>
      </c>
    </row>
    <row r="74" spans="1:85" x14ac:dyDescent="0.3">
      <c r="A74" s="3" t="str">
        <f t="shared" si="3"/>
        <v>ADDLearningInternational Research Experiences for Students (IRES)Total</v>
      </c>
      <c r="B74" s="6" t="s">
        <v>81</v>
      </c>
      <c r="C74" s="6" t="s">
        <v>133</v>
      </c>
      <c r="D74" s="6" t="s">
        <v>147</v>
      </c>
      <c r="E74" s="6" t="s">
        <v>24</v>
      </c>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8">
        <v>10</v>
      </c>
      <c r="BD74" s="8">
        <v>10</v>
      </c>
      <c r="BE74" s="6"/>
      <c r="BF74" s="6"/>
      <c r="BG74" s="6"/>
      <c r="BH74" s="6"/>
      <c r="BI74" s="6"/>
      <c r="BJ74" s="6"/>
      <c r="BK74" s="6"/>
      <c r="BL74" s="8">
        <v>10</v>
      </c>
      <c r="BM74" s="6"/>
      <c r="BN74" s="6"/>
      <c r="BO74" s="6"/>
      <c r="BP74" s="6"/>
      <c r="BQ74" s="6"/>
      <c r="BR74" s="6"/>
      <c r="BS74" s="6"/>
      <c r="BT74" s="6"/>
      <c r="BU74" s="6"/>
      <c r="BV74" s="6"/>
      <c r="BW74" s="6"/>
      <c r="BX74" s="6"/>
      <c r="BY74" s="6"/>
      <c r="BZ74" s="6"/>
      <c r="CA74" s="6"/>
      <c r="CB74" s="6"/>
      <c r="CC74" s="6"/>
      <c r="CD74" s="6"/>
      <c r="CE74" s="6"/>
      <c r="CF74" s="6"/>
      <c r="CG74" s="9">
        <v>10</v>
      </c>
    </row>
    <row r="75" spans="1:85" x14ac:dyDescent="0.3">
      <c r="A75" s="3" t="str">
        <f t="shared" si="3"/>
        <v>ADDLearningLearning Stewardship OffsetTotal</v>
      </c>
      <c r="B75" s="6" t="s">
        <v>81</v>
      </c>
      <c r="C75" s="6" t="s">
        <v>133</v>
      </c>
      <c r="D75" s="6" t="s">
        <v>148</v>
      </c>
      <c r="E75" s="6" t="s">
        <v>24</v>
      </c>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8">
        <v>0</v>
      </c>
      <c r="BG75" s="8">
        <v>0</v>
      </c>
      <c r="BH75" s="6"/>
      <c r="BI75" s="6"/>
      <c r="BJ75" s="6"/>
      <c r="BK75" s="6"/>
      <c r="BL75" s="8">
        <v>0</v>
      </c>
      <c r="BM75" s="6"/>
      <c r="BN75" s="6"/>
      <c r="BO75" s="6"/>
      <c r="BP75" s="6"/>
      <c r="BQ75" s="8">
        <v>-13.86</v>
      </c>
      <c r="BR75" s="8">
        <v>-13.86</v>
      </c>
      <c r="BS75" s="8">
        <v>-13.86</v>
      </c>
      <c r="BT75" s="6"/>
      <c r="BU75" s="6"/>
      <c r="BV75" s="6"/>
      <c r="BW75" s="6"/>
      <c r="BX75" s="6"/>
      <c r="BY75" s="6"/>
      <c r="BZ75" s="6"/>
      <c r="CA75" s="6"/>
      <c r="CB75" s="6"/>
      <c r="CC75" s="6"/>
      <c r="CD75" s="6"/>
      <c r="CE75" s="6"/>
      <c r="CF75" s="6"/>
      <c r="CG75" s="9">
        <v>-13.86</v>
      </c>
    </row>
    <row r="76" spans="1:85" x14ac:dyDescent="0.3">
      <c r="A76" s="3" t="str">
        <f t="shared" si="3"/>
        <v>ADDLearningLouis Stokes Alliances for Minority Participation (LSAMP)Total</v>
      </c>
      <c r="B76" s="6" t="s">
        <v>81</v>
      </c>
      <c r="C76" s="6" t="s">
        <v>133</v>
      </c>
      <c r="D76" s="6" t="s">
        <v>149</v>
      </c>
      <c r="E76" s="6" t="s">
        <v>24</v>
      </c>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8">
        <v>70.5</v>
      </c>
      <c r="BQ76" s="6"/>
      <c r="BR76" s="8">
        <v>70.5</v>
      </c>
      <c r="BS76" s="8">
        <v>70.5</v>
      </c>
      <c r="BT76" s="6"/>
      <c r="BU76" s="6"/>
      <c r="BV76" s="6"/>
      <c r="BW76" s="6"/>
      <c r="BX76" s="6"/>
      <c r="BY76" s="6"/>
      <c r="BZ76" s="6"/>
      <c r="CA76" s="6"/>
      <c r="CB76" s="6"/>
      <c r="CC76" s="6"/>
      <c r="CD76" s="6"/>
      <c r="CE76" s="6"/>
      <c r="CF76" s="6"/>
      <c r="CG76" s="9">
        <v>70.5</v>
      </c>
    </row>
    <row r="77" spans="1:85" x14ac:dyDescent="0.3">
      <c r="A77" s="3" t="str">
        <f t="shared" si="3"/>
        <v>ADDLearningMathematical Sciences Postdoctoral Research Fellowships (MSPRF)Total</v>
      </c>
      <c r="B77" s="6" t="s">
        <v>81</v>
      </c>
      <c r="C77" s="6" t="s">
        <v>133</v>
      </c>
      <c r="D77" s="6" t="s">
        <v>150</v>
      </c>
      <c r="E77" s="6" t="s">
        <v>24</v>
      </c>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8">
        <v>9.15</v>
      </c>
      <c r="AM77" s="8">
        <v>6</v>
      </c>
      <c r="AN77" s="6"/>
      <c r="AO77" s="6"/>
      <c r="AP77" s="8">
        <v>15.15</v>
      </c>
      <c r="AQ77" s="6"/>
      <c r="AR77" s="6"/>
      <c r="AS77" s="6"/>
      <c r="AT77" s="6"/>
      <c r="AU77" s="6"/>
      <c r="AV77" s="6"/>
      <c r="AW77" s="6"/>
      <c r="AX77" s="6"/>
      <c r="AY77" s="6"/>
      <c r="AZ77" s="6"/>
      <c r="BA77" s="6"/>
      <c r="BB77" s="6"/>
      <c r="BC77" s="6"/>
      <c r="BD77" s="6"/>
      <c r="BE77" s="6"/>
      <c r="BF77" s="6"/>
      <c r="BG77" s="6"/>
      <c r="BH77" s="6"/>
      <c r="BI77" s="6"/>
      <c r="BJ77" s="6"/>
      <c r="BK77" s="6"/>
      <c r="BL77" s="8">
        <v>15.15</v>
      </c>
      <c r="BM77" s="6"/>
      <c r="BN77" s="6"/>
      <c r="BO77" s="6"/>
      <c r="BP77" s="6"/>
      <c r="BQ77" s="6"/>
      <c r="BR77" s="6"/>
      <c r="BS77" s="6"/>
      <c r="BT77" s="6"/>
      <c r="BU77" s="6"/>
      <c r="BV77" s="6"/>
      <c r="BW77" s="6"/>
      <c r="BX77" s="6"/>
      <c r="BY77" s="6"/>
      <c r="BZ77" s="6"/>
      <c r="CA77" s="6"/>
      <c r="CB77" s="6"/>
      <c r="CC77" s="6"/>
      <c r="CD77" s="6"/>
      <c r="CE77" s="6"/>
      <c r="CF77" s="6"/>
      <c r="CG77" s="9">
        <v>15.15</v>
      </c>
    </row>
    <row r="78" spans="1:85" x14ac:dyDescent="0.3">
      <c r="A78" s="3" t="str">
        <f t="shared" si="3"/>
        <v>ADDLearningMPS ASCEND Postdoctoral Research FellowshipsTotal</v>
      </c>
      <c r="B78" s="6" t="s">
        <v>81</v>
      </c>
      <c r="C78" s="6" t="s">
        <v>133</v>
      </c>
      <c r="D78" s="6" t="s">
        <v>151</v>
      </c>
      <c r="E78" s="6" t="s">
        <v>24</v>
      </c>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8">
        <v>20</v>
      </c>
      <c r="AN78" s="6"/>
      <c r="AO78" s="6"/>
      <c r="AP78" s="8">
        <v>20</v>
      </c>
      <c r="AQ78" s="6"/>
      <c r="AR78" s="6"/>
      <c r="AS78" s="6"/>
      <c r="AT78" s="6"/>
      <c r="AU78" s="6"/>
      <c r="AV78" s="6"/>
      <c r="AW78" s="6"/>
      <c r="AX78" s="6"/>
      <c r="AY78" s="6"/>
      <c r="AZ78" s="6"/>
      <c r="BA78" s="6"/>
      <c r="BB78" s="6"/>
      <c r="BC78" s="6"/>
      <c r="BD78" s="6"/>
      <c r="BE78" s="6"/>
      <c r="BF78" s="6"/>
      <c r="BG78" s="6"/>
      <c r="BH78" s="6"/>
      <c r="BI78" s="6"/>
      <c r="BJ78" s="6"/>
      <c r="BK78" s="6"/>
      <c r="BL78" s="8">
        <v>20</v>
      </c>
      <c r="BM78" s="6"/>
      <c r="BN78" s="6"/>
      <c r="BO78" s="6"/>
      <c r="BP78" s="6"/>
      <c r="BQ78" s="6"/>
      <c r="BR78" s="6"/>
      <c r="BS78" s="6"/>
      <c r="BT78" s="6"/>
      <c r="BU78" s="6"/>
      <c r="BV78" s="6"/>
      <c r="BW78" s="6"/>
      <c r="BX78" s="6"/>
      <c r="BY78" s="6"/>
      <c r="BZ78" s="6"/>
      <c r="CA78" s="6"/>
      <c r="CB78" s="6"/>
      <c r="CC78" s="6"/>
      <c r="CD78" s="6"/>
      <c r="CE78" s="6"/>
      <c r="CF78" s="6"/>
      <c r="CG78" s="9">
        <v>20</v>
      </c>
    </row>
    <row r="79" spans="1:85" x14ac:dyDescent="0.3">
      <c r="A79" s="3" t="str">
        <f t="shared" si="3"/>
        <v>ADDLearningNSF Research Traineeship (NRT)Total</v>
      </c>
      <c r="B79" s="6" t="s">
        <v>81</v>
      </c>
      <c r="C79" s="6" t="s">
        <v>133</v>
      </c>
      <c r="D79" s="6" t="s">
        <v>152</v>
      </c>
      <c r="E79" s="6" t="s">
        <v>24</v>
      </c>
      <c r="F79" s="6"/>
      <c r="G79" s="6"/>
      <c r="H79" s="6"/>
      <c r="I79" s="6"/>
      <c r="J79" s="6"/>
      <c r="K79" s="6"/>
      <c r="L79" s="6"/>
      <c r="M79" s="8">
        <v>0</v>
      </c>
      <c r="N79" s="6"/>
      <c r="O79" s="6"/>
      <c r="P79" s="6"/>
      <c r="Q79" s="6"/>
      <c r="R79" s="6"/>
      <c r="S79" s="8">
        <v>0</v>
      </c>
      <c r="T79" s="6"/>
      <c r="U79" s="6"/>
      <c r="V79" s="6"/>
      <c r="W79" s="8">
        <v>0</v>
      </c>
      <c r="X79" s="6"/>
      <c r="Y79" s="6"/>
      <c r="Z79" s="6"/>
      <c r="AA79" s="8">
        <v>0</v>
      </c>
      <c r="AB79" s="6"/>
      <c r="AC79" s="6"/>
      <c r="AD79" s="6"/>
      <c r="AE79" s="8">
        <v>0</v>
      </c>
      <c r="AF79" s="6"/>
      <c r="AG79" s="6"/>
      <c r="AH79" s="8">
        <v>0</v>
      </c>
      <c r="AI79" s="8">
        <v>0</v>
      </c>
      <c r="AJ79" s="8">
        <v>0</v>
      </c>
      <c r="AK79" s="6"/>
      <c r="AL79" s="8">
        <v>0</v>
      </c>
      <c r="AM79" s="8">
        <v>0</v>
      </c>
      <c r="AN79" s="8">
        <v>0</v>
      </c>
      <c r="AO79" s="6"/>
      <c r="AP79" s="8">
        <v>0</v>
      </c>
      <c r="AQ79" s="8">
        <v>0</v>
      </c>
      <c r="AR79" s="6"/>
      <c r="AS79" s="8">
        <v>0</v>
      </c>
      <c r="AT79" s="8">
        <v>0</v>
      </c>
      <c r="AU79" s="6"/>
      <c r="AV79" s="8">
        <v>0</v>
      </c>
      <c r="AW79" s="6"/>
      <c r="AX79" s="6"/>
      <c r="AY79" s="6"/>
      <c r="AZ79" s="6"/>
      <c r="BA79" s="6"/>
      <c r="BB79" s="6"/>
      <c r="BC79" s="6"/>
      <c r="BD79" s="6"/>
      <c r="BE79" s="6"/>
      <c r="BF79" s="8">
        <v>0</v>
      </c>
      <c r="BG79" s="8">
        <v>0</v>
      </c>
      <c r="BH79" s="6"/>
      <c r="BI79" s="6"/>
      <c r="BJ79" s="6"/>
      <c r="BK79" s="6"/>
      <c r="BL79" s="8">
        <v>0</v>
      </c>
      <c r="BM79" s="8">
        <v>62.5</v>
      </c>
      <c r="BN79" s="6"/>
      <c r="BO79" s="6"/>
      <c r="BP79" s="6"/>
      <c r="BQ79" s="6"/>
      <c r="BR79" s="8">
        <v>62.5</v>
      </c>
      <c r="BS79" s="8">
        <v>62.5</v>
      </c>
      <c r="BT79" s="6"/>
      <c r="BU79" s="6"/>
      <c r="BV79" s="6"/>
      <c r="BW79" s="6"/>
      <c r="BX79" s="6"/>
      <c r="BY79" s="6"/>
      <c r="BZ79" s="6"/>
      <c r="CA79" s="6"/>
      <c r="CB79" s="6"/>
      <c r="CC79" s="6"/>
      <c r="CD79" s="6"/>
      <c r="CE79" s="6"/>
      <c r="CF79" s="6"/>
      <c r="CG79" s="9">
        <v>62.5</v>
      </c>
    </row>
    <row r="80" spans="1:85" x14ac:dyDescent="0.3">
      <c r="A80" s="3" t="str">
        <f t="shared" si="3"/>
        <v>ADDLearningPartnerships in Astronomy &amp; Astrophysics Research Education (PAARE)Total</v>
      </c>
      <c r="B80" s="6" t="s">
        <v>81</v>
      </c>
      <c r="C80" s="6" t="s">
        <v>133</v>
      </c>
      <c r="D80" s="6" t="s">
        <v>153</v>
      </c>
      <c r="E80" s="6" t="s">
        <v>24</v>
      </c>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8">
        <v>1.5</v>
      </c>
      <c r="AJ80" s="6"/>
      <c r="AK80" s="6"/>
      <c r="AL80" s="6"/>
      <c r="AM80" s="6"/>
      <c r="AN80" s="6"/>
      <c r="AO80" s="6"/>
      <c r="AP80" s="8">
        <v>1.5</v>
      </c>
      <c r="AQ80" s="6"/>
      <c r="AR80" s="6"/>
      <c r="AS80" s="6"/>
      <c r="AT80" s="6"/>
      <c r="AU80" s="6"/>
      <c r="AV80" s="6"/>
      <c r="AW80" s="6"/>
      <c r="AX80" s="6"/>
      <c r="AY80" s="6"/>
      <c r="AZ80" s="6"/>
      <c r="BA80" s="6"/>
      <c r="BB80" s="6"/>
      <c r="BC80" s="6"/>
      <c r="BD80" s="6"/>
      <c r="BE80" s="6"/>
      <c r="BF80" s="6"/>
      <c r="BG80" s="6"/>
      <c r="BH80" s="6"/>
      <c r="BI80" s="6"/>
      <c r="BJ80" s="6"/>
      <c r="BK80" s="6"/>
      <c r="BL80" s="8">
        <v>1.5</v>
      </c>
      <c r="BM80" s="6"/>
      <c r="BN80" s="6"/>
      <c r="BO80" s="6"/>
      <c r="BP80" s="6"/>
      <c r="BQ80" s="6"/>
      <c r="BR80" s="6"/>
      <c r="BS80" s="6"/>
      <c r="BT80" s="6"/>
      <c r="BU80" s="6"/>
      <c r="BV80" s="6"/>
      <c r="BW80" s="6"/>
      <c r="BX80" s="6"/>
      <c r="BY80" s="6"/>
      <c r="BZ80" s="6"/>
      <c r="CA80" s="6"/>
      <c r="CB80" s="6"/>
      <c r="CC80" s="6"/>
      <c r="CD80" s="6"/>
      <c r="CE80" s="6"/>
      <c r="CF80" s="6"/>
      <c r="CG80" s="9">
        <v>1.5</v>
      </c>
    </row>
    <row r="81" spans="1:85" x14ac:dyDescent="0.3">
      <c r="A81" s="3" t="str">
        <f t="shared" si="3"/>
        <v>ADDLearningPostdoctoral Research Fellowships in Biology (PRFB)Total</v>
      </c>
      <c r="B81" s="6" t="s">
        <v>81</v>
      </c>
      <c r="C81" s="6" t="s">
        <v>133</v>
      </c>
      <c r="D81" s="6" t="s">
        <v>154</v>
      </c>
      <c r="E81" s="6" t="s">
        <v>24</v>
      </c>
      <c r="F81" s="8">
        <v>17</v>
      </c>
      <c r="G81" s="6"/>
      <c r="H81" s="8">
        <v>6.9</v>
      </c>
      <c r="I81" s="8">
        <v>3</v>
      </c>
      <c r="J81" s="8">
        <v>0</v>
      </c>
      <c r="K81" s="6"/>
      <c r="L81" s="8">
        <v>26.9</v>
      </c>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8">
        <v>26.9</v>
      </c>
      <c r="BM81" s="6"/>
      <c r="BN81" s="6"/>
      <c r="BO81" s="6"/>
      <c r="BP81" s="6"/>
      <c r="BQ81" s="6"/>
      <c r="BR81" s="6"/>
      <c r="BS81" s="6"/>
      <c r="BT81" s="6"/>
      <c r="BU81" s="6"/>
      <c r="BV81" s="6"/>
      <c r="BW81" s="6"/>
      <c r="BX81" s="6"/>
      <c r="BY81" s="6"/>
      <c r="BZ81" s="6"/>
      <c r="CA81" s="6"/>
      <c r="CB81" s="6"/>
      <c r="CC81" s="6"/>
      <c r="CD81" s="6"/>
      <c r="CE81" s="6"/>
      <c r="CF81" s="6"/>
      <c r="CG81" s="9">
        <v>26.9</v>
      </c>
    </row>
    <row r="82" spans="1:85" x14ac:dyDescent="0.3">
      <c r="A82" s="3" t="str">
        <f t="shared" si="3"/>
        <v>ADDLearningResearch and Mentoring for Postbaccalaureates in Biological Sciences (RaMP)Total</v>
      </c>
      <c r="B82" s="6" t="s">
        <v>81</v>
      </c>
      <c r="C82" s="6" t="s">
        <v>133</v>
      </c>
      <c r="D82" s="6" t="s">
        <v>156</v>
      </c>
      <c r="E82" s="6" t="s">
        <v>24</v>
      </c>
      <c r="F82" s="6"/>
      <c r="G82" s="6"/>
      <c r="H82" s="8">
        <v>59.1</v>
      </c>
      <c r="I82" s="6"/>
      <c r="J82" s="6"/>
      <c r="K82" s="6"/>
      <c r="L82" s="8">
        <v>59.1</v>
      </c>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8">
        <v>59.1</v>
      </c>
      <c r="BM82" s="6"/>
      <c r="BN82" s="6"/>
      <c r="BO82" s="6"/>
      <c r="BP82" s="6"/>
      <c r="BQ82" s="6"/>
      <c r="BR82" s="6"/>
      <c r="BS82" s="6"/>
      <c r="BT82" s="6"/>
      <c r="BU82" s="6"/>
      <c r="BV82" s="6"/>
      <c r="BW82" s="6"/>
      <c r="BX82" s="6"/>
      <c r="BY82" s="6"/>
      <c r="BZ82" s="6"/>
      <c r="CA82" s="6"/>
      <c r="CB82" s="6"/>
      <c r="CC82" s="6"/>
      <c r="CD82" s="6"/>
      <c r="CE82" s="6"/>
      <c r="CF82" s="6"/>
      <c r="CG82" s="9">
        <v>59.1</v>
      </c>
    </row>
    <row r="83" spans="1:85" x14ac:dyDescent="0.3">
      <c r="A83" s="3" t="str">
        <f t="shared" si="3"/>
        <v>ADDLearningResearch Experiences for Teachers (RET)Total</v>
      </c>
      <c r="B83" s="6" t="s">
        <v>81</v>
      </c>
      <c r="C83" s="6" t="s">
        <v>133</v>
      </c>
      <c r="D83" s="6" t="s">
        <v>157</v>
      </c>
      <c r="E83" s="6" t="s">
        <v>24</v>
      </c>
      <c r="F83" s="8">
        <v>1</v>
      </c>
      <c r="G83" s="8">
        <v>1</v>
      </c>
      <c r="H83" s="8">
        <v>2</v>
      </c>
      <c r="I83" s="8">
        <v>1</v>
      </c>
      <c r="J83" s="8">
        <v>1</v>
      </c>
      <c r="K83" s="6"/>
      <c r="L83" s="8">
        <v>6</v>
      </c>
      <c r="M83" s="8">
        <v>0.6</v>
      </c>
      <c r="N83" s="8">
        <v>0.6</v>
      </c>
      <c r="O83" s="8">
        <v>0.6</v>
      </c>
      <c r="P83" s="6"/>
      <c r="Q83" s="6"/>
      <c r="R83" s="6"/>
      <c r="S83" s="8">
        <v>1.8</v>
      </c>
      <c r="T83" s="6"/>
      <c r="U83" s="6"/>
      <c r="V83" s="6"/>
      <c r="W83" s="8">
        <v>5.4</v>
      </c>
      <c r="X83" s="6"/>
      <c r="Y83" s="6"/>
      <c r="Z83" s="6"/>
      <c r="AA83" s="8">
        <v>5.4</v>
      </c>
      <c r="AB83" s="6"/>
      <c r="AC83" s="6"/>
      <c r="AD83" s="6"/>
      <c r="AE83" s="6"/>
      <c r="AF83" s="8">
        <v>0</v>
      </c>
      <c r="AG83" s="6"/>
      <c r="AH83" s="8">
        <v>0</v>
      </c>
      <c r="AI83" s="6"/>
      <c r="AJ83" s="8">
        <v>0.02</v>
      </c>
      <c r="AK83" s="8">
        <v>0</v>
      </c>
      <c r="AL83" s="6"/>
      <c r="AM83" s="6"/>
      <c r="AN83" s="8">
        <v>0.1</v>
      </c>
      <c r="AO83" s="6"/>
      <c r="AP83" s="8">
        <v>0.12</v>
      </c>
      <c r="AQ83" s="6"/>
      <c r="AR83" s="6"/>
      <c r="AS83" s="6"/>
      <c r="AT83" s="6"/>
      <c r="AU83" s="6"/>
      <c r="AV83" s="6"/>
      <c r="AW83" s="6"/>
      <c r="AX83" s="6"/>
      <c r="AY83" s="6"/>
      <c r="AZ83" s="6"/>
      <c r="BA83" s="6"/>
      <c r="BB83" s="6"/>
      <c r="BC83" s="6"/>
      <c r="BD83" s="6"/>
      <c r="BE83" s="6"/>
      <c r="BF83" s="6"/>
      <c r="BG83" s="6"/>
      <c r="BH83" s="6"/>
      <c r="BI83" s="6"/>
      <c r="BJ83" s="6"/>
      <c r="BK83" s="6"/>
      <c r="BL83" s="8">
        <v>13.32</v>
      </c>
      <c r="BM83" s="6"/>
      <c r="BN83" s="6"/>
      <c r="BO83" s="6"/>
      <c r="BP83" s="6"/>
      <c r="BQ83" s="6"/>
      <c r="BR83" s="6"/>
      <c r="BS83" s="6"/>
      <c r="BT83" s="6"/>
      <c r="BU83" s="6"/>
      <c r="BV83" s="6"/>
      <c r="BW83" s="6"/>
      <c r="BX83" s="6"/>
      <c r="BY83" s="6"/>
      <c r="BZ83" s="6"/>
      <c r="CA83" s="6"/>
      <c r="CB83" s="6"/>
      <c r="CC83" s="6"/>
      <c r="CD83" s="6"/>
      <c r="CE83" s="6"/>
      <c r="CF83" s="6"/>
      <c r="CG83" s="9">
        <v>13.32</v>
      </c>
    </row>
    <row r="84" spans="1:85" x14ac:dyDescent="0.3">
      <c r="A84" s="3" t="str">
        <f t="shared" si="3"/>
        <v>ADDLearningResearch Experiences for Undergraduates (REU) SitesTotal</v>
      </c>
      <c r="B84" s="6" t="s">
        <v>81</v>
      </c>
      <c r="C84" s="6" t="s">
        <v>133</v>
      </c>
      <c r="D84" s="6" t="s">
        <v>158</v>
      </c>
      <c r="E84" s="6" t="s">
        <v>24</v>
      </c>
      <c r="F84" s="8">
        <v>13</v>
      </c>
      <c r="G84" s="6"/>
      <c r="H84" s="6"/>
      <c r="I84" s="8">
        <v>0</v>
      </c>
      <c r="J84" s="8">
        <v>0</v>
      </c>
      <c r="K84" s="6"/>
      <c r="L84" s="8">
        <v>13</v>
      </c>
      <c r="M84" s="8">
        <v>3</v>
      </c>
      <c r="N84" s="8">
        <v>3</v>
      </c>
      <c r="O84" s="8">
        <v>3</v>
      </c>
      <c r="P84" s="6"/>
      <c r="Q84" s="8">
        <v>1</v>
      </c>
      <c r="R84" s="6"/>
      <c r="S84" s="8">
        <v>10</v>
      </c>
      <c r="T84" s="6"/>
      <c r="U84" s="6"/>
      <c r="V84" s="6"/>
      <c r="W84" s="8">
        <v>13.5</v>
      </c>
      <c r="X84" s="6"/>
      <c r="Y84" s="6"/>
      <c r="Z84" s="6"/>
      <c r="AA84" s="8">
        <v>13.5</v>
      </c>
      <c r="AB84" s="8">
        <v>1.9</v>
      </c>
      <c r="AC84" s="8">
        <v>3.5</v>
      </c>
      <c r="AD84" s="8">
        <v>4.3</v>
      </c>
      <c r="AE84" s="8">
        <v>0.2</v>
      </c>
      <c r="AF84" s="8">
        <v>0</v>
      </c>
      <c r="AG84" s="6"/>
      <c r="AH84" s="8">
        <v>9.9</v>
      </c>
      <c r="AI84" s="8">
        <v>2</v>
      </c>
      <c r="AJ84" s="8">
        <v>4</v>
      </c>
      <c r="AK84" s="8">
        <v>2.5</v>
      </c>
      <c r="AL84" s="8">
        <v>4.5</v>
      </c>
      <c r="AM84" s="8">
        <v>0</v>
      </c>
      <c r="AN84" s="8">
        <v>4.42</v>
      </c>
      <c r="AO84" s="6"/>
      <c r="AP84" s="8">
        <v>17.420000000000002</v>
      </c>
      <c r="AQ84" s="6"/>
      <c r="AR84" s="6"/>
      <c r="AS84" s="8">
        <v>3</v>
      </c>
      <c r="AT84" s="6"/>
      <c r="AU84" s="6"/>
      <c r="AV84" s="8">
        <v>3</v>
      </c>
      <c r="AW84" s="6"/>
      <c r="AX84" s="6"/>
      <c r="AY84" s="6"/>
      <c r="AZ84" s="6"/>
      <c r="BA84" s="6"/>
      <c r="BB84" s="6"/>
      <c r="BC84" s="6"/>
      <c r="BD84" s="6"/>
      <c r="BE84" s="6"/>
      <c r="BF84" s="6"/>
      <c r="BG84" s="6"/>
      <c r="BH84" s="6"/>
      <c r="BI84" s="6"/>
      <c r="BJ84" s="6"/>
      <c r="BK84" s="6"/>
      <c r="BL84" s="8">
        <v>66.819999999999993</v>
      </c>
      <c r="BM84" s="6"/>
      <c r="BN84" s="6"/>
      <c r="BO84" s="6"/>
      <c r="BP84" s="6"/>
      <c r="BQ84" s="6"/>
      <c r="BR84" s="6"/>
      <c r="BS84" s="6"/>
      <c r="BT84" s="6"/>
      <c r="BU84" s="6"/>
      <c r="BV84" s="6"/>
      <c r="BW84" s="6"/>
      <c r="BX84" s="6"/>
      <c r="BY84" s="6"/>
      <c r="BZ84" s="6"/>
      <c r="CA84" s="6"/>
      <c r="CB84" s="6"/>
      <c r="CC84" s="6"/>
      <c r="CD84" s="6"/>
      <c r="CE84" s="6"/>
      <c r="CF84" s="6"/>
      <c r="CG84" s="9">
        <v>66.819999999999993</v>
      </c>
    </row>
    <row r="85" spans="1:85" x14ac:dyDescent="0.3">
      <c r="A85" s="3" t="str">
        <f t="shared" si="3"/>
        <v>ADDLearningResearch Experiences for Undergraduates (REU) SupplementsTotal</v>
      </c>
      <c r="B85" s="6" t="s">
        <v>81</v>
      </c>
      <c r="C85" s="6" t="s">
        <v>133</v>
      </c>
      <c r="D85" s="6" t="s">
        <v>159</v>
      </c>
      <c r="E85" s="6" t="s">
        <v>24</v>
      </c>
      <c r="F85" s="8">
        <v>0</v>
      </c>
      <c r="G85" s="8">
        <v>1.5</v>
      </c>
      <c r="H85" s="6"/>
      <c r="I85" s="8">
        <v>0.8</v>
      </c>
      <c r="J85" s="8">
        <v>1</v>
      </c>
      <c r="K85" s="6"/>
      <c r="L85" s="8">
        <v>3.3</v>
      </c>
      <c r="M85" s="8">
        <v>1.2</v>
      </c>
      <c r="N85" s="8">
        <v>2</v>
      </c>
      <c r="O85" s="8">
        <v>1.6</v>
      </c>
      <c r="P85" s="8">
        <v>0</v>
      </c>
      <c r="Q85" s="8">
        <v>0.2</v>
      </c>
      <c r="R85" s="6"/>
      <c r="S85" s="8">
        <v>5</v>
      </c>
      <c r="T85" s="8">
        <v>1.5</v>
      </c>
      <c r="U85" s="8">
        <v>2.4</v>
      </c>
      <c r="V85" s="8">
        <v>0.92</v>
      </c>
      <c r="W85" s="8">
        <v>0.3</v>
      </c>
      <c r="X85" s="8">
        <v>0.12</v>
      </c>
      <c r="Y85" s="8">
        <v>0</v>
      </c>
      <c r="Z85" s="6"/>
      <c r="AA85" s="8">
        <v>5.24</v>
      </c>
      <c r="AB85" s="8">
        <v>0.13</v>
      </c>
      <c r="AC85" s="8">
        <v>0.3</v>
      </c>
      <c r="AD85" s="8">
        <v>0.55000000000000004</v>
      </c>
      <c r="AE85" s="8">
        <v>0.2</v>
      </c>
      <c r="AF85" s="6"/>
      <c r="AG85" s="6"/>
      <c r="AH85" s="8">
        <v>1.18</v>
      </c>
      <c r="AI85" s="8">
        <v>0.2</v>
      </c>
      <c r="AJ85" s="8">
        <v>0.5</v>
      </c>
      <c r="AK85" s="8">
        <v>0</v>
      </c>
      <c r="AL85" s="8">
        <v>0.5</v>
      </c>
      <c r="AM85" s="6"/>
      <c r="AN85" s="8">
        <v>0.4</v>
      </c>
      <c r="AO85" s="6"/>
      <c r="AP85" s="8">
        <v>1.6</v>
      </c>
      <c r="AQ85" s="8">
        <v>0.44</v>
      </c>
      <c r="AR85" s="6"/>
      <c r="AS85" s="8">
        <v>0.06</v>
      </c>
      <c r="AT85" s="8">
        <v>0.5</v>
      </c>
      <c r="AU85" s="6"/>
      <c r="AV85" s="8">
        <v>1</v>
      </c>
      <c r="AW85" s="6"/>
      <c r="AX85" s="6"/>
      <c r="AY85" s="6"/>
      <c r="AZ85" s="6"/>
      <c r="BA85" s="6"/>
      <c r="BB85" s="6"/>
      <c r="BC85" s="6"/>
      <c r="BD85" s="6"/>
      <c r="BE85" s="6"/>
      <c r="BF85" s="6"/>
      <c r="BG85" s="6"/>
      <c r="BH85" s="6"/>
      <c r="BI85" s="6"/>
      <c r="BJ85" s="6"/>
      <c r="BK85" s="6"/>
      <c r="BL85" s="8">
        <v>17.32</v>
      </c>
      <c r="BM85" s="6"/>
      <c r="BN85" s="6"/>
      <c r="BO85" s="6"/>
      <c r="BP85" s="6"/>
      <c r="BQ85" s="6"/>
      <c r="BR85" s="6"/>
      <c r="BS85" s="6"/>
      <c r="BT85" s="6"/>
      <c r="BU85" s="6"/>
      <c r="BV85" s="6"/>
      <c r="BW85" s="6"/>
      <c r="BX85" s="6"/>
      <c r="BY85" s="6"/>
      <c r="BZ85" s="6"/>
      <c r="CA85" s="6"/>
      <c r="CB85" s="6"/>
      <c r="CC85" s="6"/>
      <c r="CD85" s="6"/>
      <c r="CE85" s="6"/>
      <c r="CF85" s="6"/>
      <c r="CG85" s="9">
        <v>17.32</v>
      </c>
    </row>
    <row r="86" spans="1:85" x14ac:dyDescent="0.3">
      <c r="A86" s="3" t="str">
        <f t="shared" si="3"/>
        <v>ADDLearningResearch Investment Communications (RIC)Total</v>
      </c>
      <c r="B86" s="6" t="s">
        <v>81</v>
      </c>
      <c r="C86" s="6" t="s">
        <v>133</v>
      </c>
      <c r="D86" s="6" t="s">
        <v>160</v>
      </c>
      <c r="E86" s="6" t="s">
        <v>24</v>
      </c>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8">
        <v>5.4</v>
      </c>
      <c r="BG86" s="8">
        <v>5.4</v>
      </c>
      <c r="BH86" s="6"/>
      <c r="BI86" s="6"/>
      <c r="BJ86" s="6"/>
      <c r="BK86" s="6"/>
      <c r="BL86" s="8">
        <v>5.4</v>
      </c>
      <c r="BM86" s="6"/>
      <c r="BN86" s="6"/>
      <c r="BO86" s="6"/>
      <c r="BP86" s="6"/>
      <c r="BQ86" s="6"/>
      <c r="BR86" s="6"/>
      <c r="BS86" s="6"/>
      <c r="BT86" s="6"/>
      <c r="BU86" s="6"/>
      <c r="BV86" s="6"/>
      <c r="BW86" s="6"/>
      <c r="BX86" s="6"/>
      <c r="BY86" s="6"/>
      <c r="BZ86" s="6"/>
      <c r="CA86" s="6"/>
      <c r="CB86" s="6"/>
      <c r="CC86" s="6"/>
      <c r="CD86" s="6"/>
      <c r="CE86" s="6"/>
      <c r="CF86" s="6"/>
      <c r="CG86" s="9">
        <v>5.4</v>
      </c>
    </row>
    <row r="87" spans="1:85" x14ac:dyDescent="0.3">
      <c r="A87" s="3" t="str">
        <f t="shared" si="3"/>
        <v>ADDLearningRobert Noyce Teacher Scholarship Program (NOYCE)Total</v>
      </c>
      <c r="B87" s="6" t="s">
        <v>81</v>
      </c>
      <c r="C87" s="6" t="s">
        <v>133</v>
      </c>
      <c r="D87" s="6" t="s">
        <v>161</v>
      </c>
      <c r="E87" s="6" t="s">
        <v>24</v>
      </c>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8">
        <v>67</v>
      </c>
      <c r="BP87" s="6"/>
      <c r="BQ87" s="6"/>
      <c r="BR87" s="8">
        <v>67</v>
      </c>
      <c r="BS87" s="8">
        <v>67</v>
      </c>
      <c r="BT87" s="6"/>
      <c r="BU87" s="6"/>
      <c r="BV87" s="6"/>
      <c r="BW87" s="6"/>
      <c r="BX87" s="6"/>
      <c r="BY87" s="6"/>
      <c r="BZ87" s="6"/>
      <c r="CA87" s="6"/>
      <c r="CB87" s="6"/>
      <c r="CC87" s="6"/>
      <c r="CD87" s="6"/>
      <c r="CE87" s="6"/>
      <c r="CF87" s="6"/>
      <c r="CG87" s="9">
        <v>67</v>
      </c>
    </row>
    <row r="88" spans="1:85" x14ac:dyDescent="0.3">
      <c r="A88" s="3" t="str">
        <f t="shared" si="3"/>
        <v>ADDLearningRobert Noyce Teacher Scholarship Program (NOYCE)Noyce Scholarships</v>
      </c>
      <c r="B88" s="6" t="s">
        <v>81</v>
      </c>
      <c r="C88" s="6" t="s">
        <v>133</v>
      </c>
      <c r="D88" s="6" t="s">
        <v>161</v>
      </c>
      <c r="E88" s="6" t="s">
        <v>162</v>
      </c>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8">
        <v>47</v>
      </c>
      <c r="BP88" s="6"/>
      <c r="BQ88" s="6"/>
      <c r="BR88" s="8">
        <v>47</v>
      </c>
      <c r="BS88" s="8">
        <v>47</v>
      </c>
      <c r="BT88" s="6"/>
      <c r="BU88" s="6"/>
      <c r="BV88" s="6"/>
      <c r="BW88" s="6"/>
      <c r="BX88" s="6"/>
      <c r="BY88" s="6"/>
      <c r="BZ88" s="6"/>
      <c r="CA88" s="6"/>
      <c r="CB88" s="6"/>
      <c r="CC88" s="6"/>
      <c r="CD88" s="6"/>
      <c r="CE88" s="6"/>
      <c r="CF88" s="6"/>
      <c r="CG88" s="9">
        <v>47</v>
      </c>
    </row>
    <row r="89" spans="1:85" x14ac:dyDescent="0.3">
      <c r="A89" s="3" t="str">
        <f t="shared" si="3"/>
        <v>ADDLearningRobert Noyce Teacher Scholarship Program (NOYCE)Noyce Teaching &amp; Master Teaching Fellows (10A)</v>
      </c>
      <c r="B89" s="6" t="s">
        <v>81</v>
      </c>
      <c r="C89" s="6" t="s">
        <v>133</v>
      </c>
      <c r="D89" s="6" t="s">
        <v>161</v>
      </c>
      <c r="E89" s="6" t="s">
        <v>163</v>
      </c>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8">
        <v>20</v>
      </c>
      <c r="BP89" s="6"/>
      <c r="BQ89" s="6"/>
      <c r="BR89" s="8">
        <v>20</v>
      </c>
      <c r="BS89" s="8">
        <v>20</v>
      </c>
      <c r="BT89" s="6"/>
      <c r="BU89" s="6"/>
      <c r="BV89" s="6"/>
      <c r="BW89" s="6"/>
      <c r="BX89" s="6"/>
      <c r="BY89" s="6"/>
      <c r="BZ89" s="6"/>
      <c r="CA89" s="6"/>
      <c r="CB89" s="6"/>
      <c r="CC89" s="6"/>
      <c r="CD89" s="6"/>
      <c r="CE89" s="6"/>
      <c r="CF89" s="6"/>
      <c r="CG89" s="9">
        <v>20</v>
      </c>
    </row>
    <row r="90" spans="1:85" x14ac:dyDescent="0.3">
      <c r="A90" s="3" t="str">
        <f t="shared" si="3"/>
        <v>ADDLearningSPRF - Fundamental Research (SPRF-FR)Total</v>
      </c>
      <c r="B90" s="6" t="s">
        <v>81</v>
      </c>
      <c r="C90" s="6" t="s">
        <v>133</v>
      </c>
      <c r="D90" s="6" t="s">
        <v>164</v>
      </c>
      <c r="E90" s="6" t="s">
        <v>24</v>
      </c>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8">
        <v>3</v>
      </c>
      <c r="AT90" s="6"/>
      <c r="AU90" s="6"/>
      <c r="AV90" s="8">
        <v>3</v>
      </c>
      <c r="AW90" s="6"/>
      <c r="AX90" s="6"/>
      <c r="AY90" s="6"/>
      <c r="AZ90" s="6"/>
      <c r="BA90" s="6"/>
      <c r="BB90" s="6"/>
      <c r="BC90" s="6"/>
      <c r="BD90" s="6"/>
      <c r="BE90" s="6"/>
      <c r="BF90" s="6"/>
      <c r="BG90" s="6"/>
      <c r="BH90" s="6"/>
      <c r="BI90" s="6"/>
      <c r="BJ90" s="6"/>
      <c r="BK90" s="6"/>
      <c r="BL90" s="8">
        <v>3</v>
      </c>
      <c r="BM90" s="6"/>
      <c r="BN90" s="6"/>
      <c r="BO90" s="6"/>
      <c r="BP90" s="6"/>
      <c r="BQ90" s="6"/>
      <c r="BR90" s="6"/>
      <c r="BS90" s="6"/>
      <c r="BT90" s="6"/>
      <c r="BU90" s="6"/>
      <c r="BV90" s="6"/>
      <c r="BW90" s="6"/>
      <c r="BX90" s="6"/>
      <c r="BY90" s="6"/>
      <c r="BZ90" s="6"/>
      <c r="CA90" s="6"/>
      <c r="CB90" s="6"/>
      <c r="CC90" s="6"/>
      <c r="CD90" s="6"/>
      <c r="CE90" s="6"/>
      <c r="CF90" s="6"/>
      <c r="CG90" s="9">
        <v>3</v>
      </c>
    </row>
    <row r="91" spans="1:85" x14ac:dyDescent="0.3">
      <c r="A91" s="3" t="str">
        <f t="shared" si="3"/>
        <v>ADDLearningSPRF-Broadening ParticipationTotal</v>
      </c>
      <c r="B91" s="6" t="s">
        <v>81</v>
      </c>
      <c r="C91" s="6" t="s">
        <v>133</v>
      </c>
      <c r="D91" s="6" t="s">
        <v>165</v>
      </c>
      <c r="E91" s="6" t="s">
        <v>24</v>
      </c>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8">
        <v>6</v>
      </c>
      <c r="AT91" s="6"/>
      <c r="AU91" s="6"/>
      <c r="AV91" s="8">
        <v>6</v>
      </c>
      <c r="AW91" s="6"/>
      <c r="AX91" s="6"/>
      <c r="AY91" s="6"/>
      <c r="AZ91" s="6"/>
      <c r="BA91" s="6"/>
      <c r="BB91" s="6"/>
      <c r="BC91" s="6"/>
      <c r="BD91" s="6"/>
      <c r="BE91" s="6"/>
      <c r="BF91" s="6"/>
      <c r="BG91" s="6"/>
      <c r="BH91" s="6"/>
      <c r="BI91" s="6"/>
      <c r="BJ91" s="6"/>
      <c r="BK91" s="6"/>
      <c r="BL91" s="8">
        <v>6</v>
      </c>
      <c r="BM91" s="6"/>
      <c r="BN91" s="6"/>
      <c r="BO91" s="6"/>
      <c r="BP91" s="6"/>
      <c r="BQ91" s="6"/>
      <c r="BR91" s="6"/>
      <c r="BS91" s="6"/>
      <c r="BT91" s="6"/>
      <c r="BU91" s="6"/>
      <c r="BV91" s="6"/>
      <c r="BW91" s="6"/>
      <c r="BX91" s="6"/>
      <c r="BY91" s="6"/>
      <c r="BZ91" s="6"/>
      <c r="CA91" s="6"/>
      <c r="CB91" s="6"/>
      <c r="CC91" s="6"/>
      <c r="CD91" s="6"/>
      <c r="CE91" s="6"/>
      <c r="CF91" s="6"/>
      <c r="CG91" s="9">
        <v>6</v>
      </c>
    </row>
    <row r="92" spans="1:85" x14ac:dyDescent="0.3">
      <c r="A92" s="3" t="str">
        <f t="shared" si="3"/>
        <v>ADDLearningSTEM ED Postdoctoral Research FellowshipsTotal</v>
      </c>
      <c r="B92" s="6" t="s">
        <v>81</v>
      </c>
      <c r="C92" s="6" t="s">
        <v>133</v>
      </c>
      <c r="D92" s="6" t="s">
        <v>352</v>
      </c>
      <c r="E92" s="6" t="s">
        <v>24</v>
      </c>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8">
        <v>5</v>
      </c>
      <c r="BN92" s="6"/>
      <c r="BO92" s="6"/>
      <c r="BP92" s="6"/>
      <c r="BQ92" s="6"/>
      <c r="BR92" s="8">
        <v>5</v>
      </c>
      <c r="BS92" s="8">
        <v>5</v>
      </c>
      <c r="BT92" s="6"/>
      <c r="BU92" s="6"/>
      <c r="BV92" s="6"/>
      <c r="BW92" s="6"/>
      <c r="BX92" s="6"/>
      <c r="BY92" s="6"/>
      <c r="BZ92" s="6"/>
      <c r="CA92" s="6"/>
      <c r="CB92" s="6"/>
      <c r="CC92" s="6"/>
      <c r="CD92" s="6"/>
      <c r="CE92" s="6"/>
      <c r="CF92" s="6"/>
      <c r="CG92" s="9">
        <v>5</v>
      </c>
    </row>
    <row r="93" spans="1:85" x14ac:dyDescent="0.3">
      <c r="A93" s="3" t="str">
        <f t="shared" si="3"/>
        <v>ADDOrganizational Excellence - Program SupportTotalTotal</v>
      </c>
      <c r="B93" s="6" t="s">
        <v>81</v>
      </c>
      <c r="C93" s="6" t="s">
        <v>166</v>
      </c>
      <c r="D93" s="6" t="s">
        <v>24</v>
      </c>
      <c r="E93" s="6" t="s">
        <v>24</v>
      </c>
      <c r="F93" s="8">
        <v>4.17</v>
      </c>
      <c r="G93" s="8">
        <v>3.87</v>
      </c>
      <c r="H93" s="8">
        <v>2.29</v>
      </c>
      <c r="I93" s="8">
        <v>4.47</v>
      </c>
      <c r="J93" s="8">
        <v>2.82</v>
      </c>
      <c r="K93" s="6"/>
      <c r="L93" s="8">
        <v>17.62</v>
      </c>
      <c r="M93" s="8">
        <v>4.84</v>
      </c>
      <c r="N93" s="8">
        <v>8.0299999999999994</v>
      </c>
      <c r="O93" s="8">
        <v>6.08</v>
      </c>
      <c r="P93" s="8">
        <v>3.79</v>
      </c>
      <c r="Q93" s="8">
        <v>7.73</v>
      </c>
      <c r="R93" s="6"/>
      <c r="S93" s="8">
        <v>30.47</v>
      </c>
      <c r="T93" s="8">
        <v>5.45</v>
      </c>
      <c r="U93" s="8">
        <v>6.57</v>
      </c>
      <c r="V93" s="8">
        <v>4.78</v>
      </c>
      <c r="W93" s="8">
        <v>4.1900000000000004</v>
      </c>
      <c r="X93" s="8">
        <v>2.4500000000000002</v>
      </c>
      <c r="Y93" s="8">
        <v>0</v>
      </c>
      <c r="Z93" s="6"/>
      <c r="AA93" s="8">
        <v>23.44</v>
      </c>
      <c r="AB93" s="8">
        <v>5.58</v>
      </c>
      <c r="AC93" s="8">
        <v>4.78</v>
      </c>
      <c r="AD93" s="8">
        <v>8.6199999999999992</v>
      </c>
      <c r="AE93" s="8">
        <v>8.5399999999999991</v>
      </c>
      <c r="AF93" s="8">
        <v>7.12</v>
      </c>
      <c r="AG93" s="6"/>
      <c r="AH93" s="8">
        <v>34.64</v>
      </c>
      <c r="AI93" s="8">
        <v>5</v>
      </c>
      <c r="AJ93" s="8">
        <v>5.65</v>
      </c>
      <c r="AK93" s="8">
        <v>6.65</v>
      </c>
      <c r="AL93" s="8">
        <v>5.3</v>
      </c>
      <c r="AM93" s="8">
        <v>4.07</v>
      </c>
      <c r="AN93" s="8">
        <v>5.67</v>
      </c>
      <c r="AO93" s="6"/>
      <c r="AP93" s="8">
        <v>32.340000000000003</v>
      </c>
      <c r="AQ93" s="8">
        <v>2.86</v>
      </c>
      <c r="AR93" s="8">
        <v>0.92</v>
      </c>
      <c r="AS93" s="8">
        <v>0.85</v>
      </c>
      <c r="AT93" s="8">
        <v>3.19</v>
      </c>
      <c r="AU93" s="6"/>
      <c r="AV93" s="8">
        <v>7.82</v>
      </c>
      <c r="AW93" s="8">
        <v>8.5500000000000007</v>
      </c>
      <c r="AX93" s="8">
        <v>0.63</v>
      </c>
      <c r="AY93" s="8">
        <v>1.79</v>
      </c>
      <c r="AZ93" s="8">
        <v>3.67</v>
      </c>
      <c r="BA93" s="6"/>
      <c r="BB93" s="8">
        <v>14.64</v>
      </c>
      <c r="BC93" s="8">
        <v>1.79</v>
      </c>
      <c r="BD93" s="8">
        <v>1.79</v>
      </c>
      <c r="BE93" s="8">
        <v>4.49</v>
      </c>
      <c r="BF93" s="8">
        <v>23.41</v>
      </c>
      <c r="BG93" s="8">
        <v>27.9</v>
      </c>
      <c r="BH93" s="6"/>
      <c r="BI93" s="6"/>
      <c r="BJ93" s="6"/>
      <c r="BK93" s="6"/>
      <c r="BL93" s="8">
        <v>190.66</v>
      </c>
      <c r="BM93" s="6"/>
      <c r="BN93" s="6"/>
      <c r="BO93" s="6"/>
      <c r="BP93" s="6"/>
      <c r="BQ93" s="8">
        <v>25.5</v>
      </c>
      <c r="BR93" s="8">
        <v>25.5</v>
      </c>
      <c r="BS93" s="8">
        <v>25.5</v>
      </c>
      <c r="BT93" s="8">
        <v>1</v>
      </c>
      <c r="BU93" s="8">
        <v>1</v>
      </c>
      <c r="BV93" s="8">
        <v>1</v>
      </c>
      <c r="BW93" s="8">
        <v>473.2</v>
      </c>
      <c r="BX93" s="6"/>
      <c r="BY93" s="8">
        <v>473.2</v>
      </c>
      <c r="BZ93" s="8">
        <v>473.2</v>
      </c>
      <c r="CA93" s="8">
        <v>23.393000000000001</v>
      </c>
      <c r="CB93" s="8">
        <v>23.393000000000001</v>
      </c>
      <c r="CC93" s="8">
        <v>23.393000000000001</v>
      </c>
      <c r="CD93" s="8">
        <v>5.09</v>
      </c>
      <c r="CE93" s="8">
        <v>5.09</v>
      </c>
      <c r="CF93" s="8">
        <v>5.09</v>
      </c>
      <c r="CG93" s="9">
        <v>718.84299999999996</v>
      </c>
    </row>
    <row r="94" spans="1:85" x14ac:dyDescent="0.3">
      <c r="A94" s="3" t="str">
        <f t="shared" si="3"/>
        <v>ADDOrganizational Excellence - Program SupportEquity and Compliance in ResearchTotal</v>
      </c>
      <c r="B94" s="6" t="s">
        <v>81</v>
      </c>
      <c r="C94" s="6" t="s">
        <v>166</v>
      </c>
      <c r="D94" s="6" t="s">
        <v>353</v>
      </c>
      <c r="E94" s="6" t="s">
        <v>24</v>
      </c>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8">
        <v>4</v>
      </c>
      <c r="BG94" s="8">
        <v>4</v>
      </c>
      <c r="BH94" s="6"/>
      <c r="BI94" s="6"/>
      <c r="BJ94" s="6"/>
      <c r="BK94" s="6"/>
      <c r="BL94" s="8">
        <v>4</v>
      </c>
      <c r="BM94" s="6"/>
      <c r="BN94" s="6"/>
      <c r="BO94" s="6"/>
      <c r="BP94" s="6"/>
      <c r="BQ94" s="6"/>
      <c r="BR94" s="6"/>
      <c r="BS94" s="6"/>
      <c r="BT94" s="6"/>
      <c r="BU94" s="6"/>
      <c r="BV94" s="6"/>
      <c r="BW94" s="6"/>
      <c r="BX94" s="6"/>
      <c r="BY94" s="6"/>
      <c r="BZ94" s="6"/>
      <c r="CA94" s="6"/>
      <c r="CB94" s="6"/>
      <c r="CC94" s="6"/>
      <c r="CD94" s="6"/>
      <c r="CE94" s="6"/>
      <c r="CF94" s="6"/>
      <c r="CG94" s="9">
        <v>4</v>
      </c>
    </row>
    <row r="95" spans="1:85" x14ac:dyDescent="0.3">
      <c r="A95" s="3" t="str">
        <f t="shared" si="3"/>
        <v>ADDOrganizational Excellence - Program SupportEvaluation and Assessment CapabilityTotal</v>
      </c>
      <c r="B95" s="6" t="s">
        <v>81</v>
      </c>
      <c r="C95" s="6" t="s">
        <v>166</v>
      </c>
      <c r="D95" s="6" t="s">
        <v>167</v>
      </c>
      <c r="E95" s="6" t="s">
        <v>24</v>
      </c>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8">
        <v>7</v>
      </c>
      <c r="BG95" s="8">
        <v>7</v>
      </c>
      <c r="BH95" s="6"/>
      <c r="BI95" s="6"/>
      <c r="BJ95" s="6"/>
      <c r="BK95" s="6"/>
      <c r="BL95" s="8">
        <v>7</v>
      </c>
      <c r="BM95" s="6"/>
      <c r="BN95" s="6"/>
      <c r="BO95" s="6"/>
      <c r="BP95" s="6"/>
      <c r="BQ95" s="6"/>
      <c r="BR95" s="6"/>
      <c r="BS95" s="6"/>
      <c r="BT95" s="6"/>
      <c r="BU95" s="6"/>
      <c r="BV95" s="6"/>
      <c r="BW95" s="6"/>
      <c r="BX95" s="6"/>
      <c r="BY95" s="6"/>
      <c r="BZ95" s="6"/>
      <c r="CA95" s="6"/>
      <c r="CB95" s="6"/>
      <c r="CC95" s="6"/>
      <c r="CD95" s="6"/>
      <c r="CE95" s="6"/>
      <c r="CF95" s="6"/>
      <c r="CG95" s="9">
        <v>7</v>
      </c>
    </row>
    <row r="96" spans="1:85" x14ac:dyDescent="0.3">
      <c r="A96" s="3" t="str">
        <f t="shared" si="3"/>
        <v>ADDOrganizational Excellence - Program SupportIntergovernmental Personnel Assignments (IPAs)Total</v>
      </c>
      <c r="B96" s="6" t="s">
        <v>81</v>
      </c>
      <c r="C96" s="6" t="s">
        <v>166</v>
      </c>
      <c r="D96" s="6" t="s">
        <v>168</v>
      </c>
      <c r="E96" s="6" t="s">
        <v>24</v>
      </c>
      <c r="F96" s="8">
        <v>1.32</v>
      </c>
      <c r="G96" s="8">
        <v>1.57</v>
      </c>
      <c r="H96" s="6"/>
      <c r="I96" s="8">
        <v>1.82</v>
      </c>
      <c r="J96" s="8">
        <v>0.82</v>
      </c>
      <c r="K96" s="6"/>
      <c r="L96" s="8">
        <v>5.53</v>
      </c>
      <c r="M96" s="8">
        <v>2.14</v>
      </c>
      <c r="N96" s="8">
        <v>4.75</v>
      </c>
      <c r="O96" s="8">
        <v>3.02</v>
      </c>
      <c r="P96" s="8">
        <v>1.75</v>
      </c>
      <c r="Q96" s="8">
        <v>2.82</v>
      </c>
      <c r="R96" s="6"/>
      <c r="S96" s="8">
        <v>14.48</v>
      </c>
      <c r="T96" s="8">
        <v>2.66</v>
      </c>
      <c r="U96" s="8">
        <v>3.3</v>
      </c>
      <c r="V96" s="8">
        <v>3.09</v>
      </c>
      <c r="W96" s="8">
        <v>2.4</v>
      </c>
      <c r="X96" s="8">
        <v>0.4</v>
      </c>
      <c r="Y96" s="8">
        <v>0</v>
      </c>
      <c r="Z96" s="6"/>
      <c r="AA96" s="8">
        <v>11.85</v>
      </c>
      <c r="AB96" s="8">
        <v>1.86</v>
      </c>
      <c r="AC96" s="8">
        <v>2.2400000000000002</v>
      </c>
      <c r="AD96" s="8">
        <v>3.3</v>
      </c>
      <c r="AE96" s="8">
        <v>2.9</v>
      </c>
      <c r="AF96" s="8">
        <v>3.42</v>
      </c>
      <c r="AG96" s="6"/>
      <c r="AH96" s="8">
        <v>13.72</v>
      </c>
      <c r="AI96" s="8">
        <v>1.25</v>
      </c>
      <c r="AJ96" s="8">
        <v>2.04</v>
      </c>
      <c r="AK96" s="8">
        <v>2.2000000000000002</v>
      </c>
      <c r="AL96" s="8">
        <v>2</v>
      </c>
      <c r="AM96" s="8">
        <v>1.67</v>
      </c>
      <c r="AN96" s="8">
        <v>1.64</v>
      </c>
      <c r="AO96" s="6"/>
      <c r="AP96" s="8">
        <v>10.8</v>
      </c>
      <c r="AQ96" s="8">
        <v>1.46</v>
      </c>
      <c r="AR96" s="8">
        <v>0</v>
      </c>
      <c r="AS96" s="8">
        <v>0.5</v>
      </c>
      <c r="AT96" s="8">
        <v>1.79</v>
      </c>
      <c r="AU96" s="6"/>
      <c r="AV96" s="8">
        <v>3.75</v>
      </c>
      <c r="AW96" s="8">
        <v>5.29</v>
      </c>
      <c r="AX96" s="6"/>
      <c r="AY96" s="6"/>
      <c r="AZ96" s="8">
        <v>1.99</v>
      </c>
      <c r="BA96" s="6"/>
      <c r="BB96" s="8">
        <v>7.28</v>
      </c>
      <c r="BC96" s="8">
        <v>0.88</v>
      </c>
      <c r="BD96" s="8">
        <v>0.88</v>
      </c>
      <c r="BE96" s="8">
        <v>1.08</v>
      </c>
      <c r="BF96" s="8">
        <v>1.3</v>
      </c>
      <c r="BG96" s="8">
        <v>2.38</v>
      </c>
      <c r="BH96" s="6"/>
      <c r="BI96" s="6"/>
      <c r="BJ96" s="6"/>
      <c r="BK96" s="6"/>
      <c r="BL96" s="8">
        <v>70.67</v>
      </c>
      <c r="BM96" s="6"/>
      <c r="BN96" s="6"/>
      <c r="BO96" s="6"/>
      <c r="BP96" s="6"/>
      <c r="BQ96" s="8">
        <v>8.52</v>
      </c>
      <c r="BR96" s="8">
        <v>8.52</v>
      </c>
      <c r="BS96" s="8">
        <v>8.52</v>
      </c>
      <c r="BT96" s="6"/>
      <c r="BU96" s="6"/>
      <c r="BV96" s="6"/>
      <c r="BW96" s="6"/>
      <c r="BX96" s="6"/>
      <c r="BY96" s="6"/>
      <c r="BZ96" s="6"/>
      <c r="CA96" s="6"/>
      <c r="CB96" s="6"/>
      <c r="CC96" s="6"/>
      <c r="CD96" s="6"/>
      <c r="CE96" s="6"/>
      <c r="CF96" s="6"/>
      <c r="CG96" s="9">
        <v>79.19</v>
      </c>
    </row>
    <row r="97" spans="1:85" x14ac:dyDescent="0.3">
      <c r="A97" s="3" t="str">
        <f t="shared" si="3"/>
        <v>ADDOrganizational Excellence - Program SupportMajor Facilities Administrative Reviews and AuditsTotal</v>
      </c>
      <c r="B97" s="6" t="s">
        <v>81</v>
      </c>
      <c r="C97" s="6" t="s">
        <v>166</v>
      </c>
      <c r="D97" s="6" t="s">
        <v>169</v>
      </c>
      <c r="E97" s="6" t="s">
        <v>24</v>
      </c>
      <c r="F97" s="8">
        <v>0.12</v>
      </c>
      <c r="G97" s="6"/>
      <c r="H97" s="6"/>
      <c r="I97" s="6"/>
      <c r="J97" s="6"/>
      <c r="K97" s="6"/>
      <c r="L97" s="8">
        <v>0.12</v>
      </c>
      <c r="M97" s="6"/>
      <c r="N97" s="6"/>
      <c r="O97" s="6"/>
      <c r="P97" s="6"/>
      <c r="Q97" s="8">
        <v>0.05</v>
      </c>
      <c r="R97" s="6"/>
      <c r="S97" s="8">
        <v>0.05</v>
      </c>
      <c r="T97" s="6"/>
      <c r="U97" s="6"/>
      <c r="V97" s="6"/>
      <c r="W97" s="6"/>
      <c r="X97" s="6"/>
      <c r="Y97" s="6"/>
      <c r="Z97" s="6"/>
      <c r="AA97" s="6"/>
      <c r="AB97" s="6"/>
      <c r="AC97" s="6"/>
      <c r="AD97" s="8">
        <v>0</v>
      </c>
      <c r="AE97" s="8">
        <v>0</v>
      </c>
      <c r="AF97" s="6"/>
      <c r="AG97" s="6"/>
      <c r="AH97" s="8">
        <v>0</v>
      </c>
      <c r="AI97" s="8">
        <v>0</v>
      </c>
      <c r="AJ97" s="6"/>
      <c r="AK97" s="8">
        <v>0</v>
      </c>
      <c r="AL97" s="6"/>
      <c r="AM97" s="6"/>
      <c r="AN97" s="8">
        <v>0</v>
      </c>
      <c r="AO97" s="6"/>
      <c r="AP97" s="8">
        <v>0</v>
      </c>
      <c r="AQ97" s="6"/>
      <c r="AR97" s="6"/>
      <c r="AS97" s="6"/>
      <c r="AT97" s="6"/>
      <c r="AU97" s="6"/>
      <c r="AV97" s="6"/>
      <c r="AW97" s="6"/>
      <c r="AX97" s="6"/>
      <c r="AY97" s="6"/>
      <c r="AZ97" s="6"/>
      <c r="BA97" s="6"/>
      <c r="BB97" s="6"/>
      <c r="BC97" s="6"/>
      <c r="BD97" s="6"/>
      <c r="BE97" s="6"/>
      <c r="BF97" s="6"/>
      <c r="BG97" s="6"/>
      <c r="BH97" s="6"/>
      <c r="BI97" s="6"/>
      <c r="BJ97" s="6"/>
      <c r="BK97" s="6"/>
      <c r="BL97" s="8">
        <v>0.17</v>
      </c>
      <c r="BM97" s="6"/>
      <c r="BN97" s="6"/>
      <c r="BO97" s="6"/>
      <c r="BP97" s="6"/>
      <c r="BQ97" s="6"/>
      <c r="BR97" s="6"/>
      <c r="BS97" s="6"/>
      <c r="BT97" s="8">
        <v>1</v>
      </c>
      <c r="BU97" s="8">
        <v>1</v>
      </c>
      <c r="BV97" s="8">
        <v>1</v>
      </c>
      <c r="BW97" s="8">
        <v>1.7</v>
      </c>
      <c r="BX97" s="6"/>
      <c r="BY97" s="8">
        <v>1.7</v>
      </c>
      <c r="BZ97" s="8">
        <v>1.7</v>
      </c>
      <c r="CA97" s="6"/>
      <c r="CB97" s="6"/>
      <c r="CC97" s="6"/>
      <c r="CD97" s="6"/>
      <c r="CE97" s="6"/>
      <c r="CF97" s="6"/>
      <c r="CG97" s="9">
        <v>2.87</v>
      </c>
    </row>
    <row r="98" spans="1:85" x14ac:dyDescent="0.3">
      <c r="A98" s="3" t="str">
        <f t="shared" si="3"/>
        <v>ADDOrganizational Excellence - Program SupportModeling and ForecastingTotal</v>
      </c>
      <c r="B98" s="6" t="s">
        <v>81</v>
      </c>
      <c r="C98" s="6" t="s">
        <v>166</v>
      </c>
      <c r="D98" s="6" t="s">
        <v>170</v>
      </c>
      <c r="E98" s="6" t="s">
        <v>24</v>
      </c>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8">
        <v>3</v>
      </c>
      <c r="BG98" s="8">
        <v>3</v>
      </c>
      <c r="BH98" s="6"/>
      <c r="BI98" s="6"/>
      <c r="BJ98" s="6"/>
      <c r="BK98" s="6"/>
      <c r="BL98" s="8">
        <v>3</v>
      </c>
      <c r="BM98" s="6"/>
      <c r="BN98" s="6"/>
      <c r="BO98" s="6"/>
      <c r="BP98" s="6"/>
      <c r="BQ98" s="6"/>
      <c r="BR98" s="6"/>
      <c r="BS98" s="6"/>
      <c r="BT98" s="6"/>
      <c r="BU98" s="6"/>
      <c r="BV98" s="6"/>
      <c r="BW98" s="6"/>
      <c r="BX98" s="6"/>
      <c r="BY98" s="6"/>
      <c r="BZ98" s="6"/>
      <c r="CA98" s="6"/>
      <c r="CB98" s="6"/>
      <c r="CC98" s="6"/>
      <c r="CD98" s="6"/>
      <c r="CE98" s="6"/>
      <c r="CF98" s="6"/>
      <c r="CG98" s="9">
        <v>3</v>
      </c>
    </row>
    <row r="99" spans="1:85" x14ac:dyDescent="0.3">
      <c r="A99" s="3" t="str">
        <f t="shared" si="3"/>
        <v>ADDOrganizational Excellence - Program SupportOrganizational ExcellenceTotal</v>
      </c>
      <c r="B99" s="6" t="s">
        <v>81</v>
      </c>
      <c r="C99" s="6" t="s">
        <v>166</v>
      </c>
      <c r="D99" s="6" t="s">
        <v>171</v>
      </c>
      <c r="E99" s="6" t="s">
        <v>24</v>
      </c>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8">
        <v>471.5</v>
      </c>
      <c r="BX99" s="6"/>
      <c r="BY99" s="8">
        <v>471.5</v>
      </c>
      <c r="BZ99" s="8">
        <v>471.5</v>
      </c>
      <c r="CA99" s="8">
        <v>23.393000000000001</v>
      </c>
      <c r="CB99" s="8">
        <v>23.393000000000001</v>
      </c>
      <c r="CC99" s="8">
        <v>23.393000000000001</v>
      </c>
      <c r="CD99" s="8">
        <v>5.09</v>
      </c>
      <c r="CE99" s="8">
        <v>5.09</v>
      </c>
      <c r="CF99" s="8">
        <v>5.09</v>
      </c>
      <c r="CG99" s="9">
        <v>499.983</v>
      </c>
    </row>
    <row r="100" spans="1:85" x14ac:dyDescent="0.3">
      <c r="A100" s="3" t="str">
        <f t="shared" si="3"/>
        <v>ADDOrganizational Excellence - Program SupportOrganizational Excellence Stewardship OffsetTotal</v>
      </c>
      <c r="B100" s="6" t="s">
        <v>81</v>
      </c>
      <c r="C100" s="6" t="s">
        <v>166</v>
      </c>
      <c r="D100" s="6" t="s">
        <v>172</v>
      </c>
      <c r="E100" s="6" t="s">
        <v>24</v>
      </c>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8">
        <v>-0.22</v>
      </c>
      <c r="BG100" s="8">
        <v>-0.22</v>
      </c>
      <c r="BH100" s="6"/>
      <c r="BI100" s="6"/>
      <c r="BJ100" s="6"/>
      <c r="BK100" s="6"/>
      <c r="BL100" s="8">
        <v>-0.22</v>
      </c>
      <c r="BM100" s="6"/>
      <c r="BN100" s="6"/>
      <c r="BO100" s="6"/>
      <c r="BP100" s="6"/>
      <c r="BQ100" s="6"/>
      <c r="BR100" s="6"/>
      <c r="BS100" s="6"/>
      <c r="BT100" s="6"/>
      <c r="BU100" s="6"/>
      <c r="BV100" s="6"/>
      <c r="BW100" s="6"/>
      <c r="BX100" s="6"/>
      <c r="BY100" s="6"/>
      <c r="BZ100" s="6"/>
      <c r="CA100" s="6"/>
      <c r="CB100" s="6"/>
      <c r="CC100" s="6"/>
      <c r="CD100" s="6"/>
      <c r="CE100" s="6"/>
      <c r="CF100" s="6"/>
      <c r="CG100" s="9">
        <v>-0.22</v>
      </c>
    </row>
    <row r="101" spans="1:85" x14ac:dyDescent="0.3">
      <c r="A101" s="3" t="str">
        <f t="shared" si="3"/>
        <v>ADDOrganizational Excellence - Program SupportPlanning and Policy SupportTotal</v>
      </c>
      <c r="B101" s="6" t="s">
        <v>81</v>
      </c>
      <c r="C101" s="6" t="s">
        <v>166</v>
      </c>
      <c r="D101" s="6" t="s">
        <v>173</v>
      </c>
      <c r="E101" s="6" t="s">
        <v>24</v>
      </c>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8">
        <v>0</v>
      </c>
      <c r="AX101" s="6"/>
      <c r="AY101" s="6"/>
      <c r="AZ101" s="6"/>
      <c r="BA101" s="6"/>
      <c r="BB101" s="8">
        <v>0</v>
      </c>
      <c r="BC101" s="6"/>
      <c r="BD101" s="6"/>
      <c r="BE101" s="6"/>
      <c r="BF101" s="8">
        <v>2.5</v>
      </c>
      <c r="BG101" s="8">
        <v>2.5</v>
      </c>
      <c r="BH101" s="6"/>
      <c r="BI101" s="6"/>
      <c r="BJ101" s="6"/>
      <c r="BK101" s="6"/>
      <c r="BL101" s="8">
        <v>2.5</v>
      </c>
      <c r="BM101" s="6"/>
      <c r="BN101" s="6"/>
      <c r="BO101" s="6"/>
      <c r="BP101" s="6"/>
      <c r="BQ101" s="6"/>
      <c r="BR101" s="6"/>
      <c r="BS101" s="6"/>
      <c r="BT101" s="6"/>
      <c r="BU101" s="6"/>
      <c r="BV101" s="6"/>
      <c r="BW101" s="6"/>
      <c r="BX101" s="6"/>
      <c r="BY101" s="6"/>
      <c r="BZ101" s="6"/>
      <c r="CA101" s="6"/>
      <c r="CB101" s="6"/>
      <c r="CC101" s="6"/>
      <c r="CD101" s="6"/>
      <c r="CE101" s="6"/>
      <c r="CF101" s="6"/>
      <c r="CG101" s="9">
        <v>2.5</v>
      </c>
    </row>
    <row r="102" spans="1:85" x14ac:dyDescent="0.3">
      <c r="A102" s="3" t="str">
        <f t="shared" si="3"/>
        <v>ADDOrganizational Excellence - Program SupportProgram Related Administration (PRA)Total</v>
      </c>
      <c r="B102" s="6" t="s">
        <v>81</v>
      </c>
      <c r="C102" s="6" t="s">
        <v>166</v>
      </c>
      <c r="D102" s="6" t="s">
        <v>174</v>
      </c>
      <c r="E102" s="6" t="s">
        <v>24</v>
      </c>
      <c r="F102" s="8">
        <v>2.73</v>
      </c>
      <c r="G102" s="8">
        <v>2.2999999999999998</v>
      </c>
      <c r="H102" s="8">
        <v>2.29</v>
      </c>
      <c r="I102" s="8">
        <v>2.65</v>
      </c>
      <c r="J102" s="8">
        <v>2</v>
      </c>
      <c r="K102" s="6"/>
      <c r="L102" s="8">
        <v>11.97</v>
      </c>
      <c r="M102" s="8">
        <v>2.7</v>
      </c>
      <c r="N102" s="8">
        <v>3.28</v>
      </c>
      <c r="O102" s="8">
        <v>3.06</v>
      </c>
      <c r="P102" s="8">
        <v>2.04</v>
      </c>
      <c r="Q102" s="8">
        <v>3.11</v>
      </c>
      <c r="R102" s="6"/>
      <c r="S102" s="8">
        <v>14.19</v>
      </c>
      <c r="T102" s="8">
        <v>2.79</v>
      </c>
      <c r="U102" s="8">
        <v>3.27</v>
      </c>
      <c r="V102" s="8">
        <v>1.69</v>
      </c>
      <c r="W102" s="8">
        <v>1.79</v>
      </c>
      <c r="X102" s="8">
        <v>2.0499999999999998</v>
      </c>
      <c r="Y102" s="8">
        <v>0</v>
      </c>
      <c r="Z102" s="6"/>
      <c r="AA102" s="8">
        <v>11.59</v>
      </c>
      <c r="AB102" s="8">
        <v>3.72</v>
      </c>
      <c r="AC102" s="8">
        <v>2.54</v>
      </c>
      <c r="AD102" s="8">
        <v>5.32</v>
      </c>
      <c r="AE102" s="8">
        <v>5.64</v>
      </c>
      <c r="AF102" s="8">
        <v>3.7</v>
      </c>
      <c r="AG102" s="6"/>
      <c r="AH102" s="8">
        <v>20.92</v>
      </c>
      <c r="AI102" s="8">
        <v>3.75</v>
      </c>
      <c r="AJ102" s="8">
        <v>3.61</v>
      </c>
      <c r="AK102" s="8">
        <v>4.45</v>
      </c>
      <c r="AL102" s="8">
        <v>3.3</v>
      </c>
      <c r="AM102" s="8">
        <v>2.4</v>
      </c>
      <c r="AN102" s="8">
        <v>4.03</v>
      </c>
      <c r="AO102" s="6"/>
      <c r="AP102" s="8">
        <v>21.54</v>
      </c>
      <c r="AQ102" s="8">
        <v>1.4</v>
      </c>
      <c r="AR102" s="8">
        <v>0.92</v>
      </c>
      <c r="AS102" s="8">
        <v>0.35</v>
      </c>
      <c r="AT102" s="8">
        <v>1.4</v>
      </c>
      <c r="AU102" s="6"/>
      <c r="AV102" s="8">
        <v>4.07</v>
      </c>
      <c r="AW102" s="8">
        <v>3.26</v>
      </c>
      <c r="AX102" s="8">
        <v>0.63</v>
      </c>
      <c r="AY102" s="8">
        <v>1.79</v>
      </c>
      <c r="AZ102" s="8">
        <v>1.68</v>
      </c>
      <c r="BA102" s="6"/>
      <c r="BB102" s="8">
        <v>7.36</v>
      </c>
      <c r="BC102" s="8">
        <v>0.91</v>
      </c>
      <c r="BD102" s="8">
        <v>0.91</v>
      </c>
      <c r="BE102" s="8">
        <v>3.41</v>
      </c>
      <c r="BF102" s="8">
        <v>3.33</v>
      </c>
      <c r="BG102" s="8">
        <v>6.74</v>
      </c>
      <c r="BH102" s="6"/>
      <c r="BI102" s="6"/>
      <c r="BJ102" s="6"/>
      <c r="BK102" s="6"/>
      <c r="BL102" s="8">
        <v>99.29</v>
      </c>
      <c r="BM102" s="6"/>
      <c r="BN102" s="6"/>
      <c r="BO102" s="6"/>
      <c r="BP102" s="6"/>
      <c r="BQ102" s="8">
        <v>16.98</v>
      </c>
      <c r="BR102" s="8">
        <v>16.98</v>
      </c>
      <c r="BS102" s="8">
        <v>16.98</v>
      </c>
      <c r="BT102" s="6"/>
      <c r="BU102" s="6"/>
      <c r="BV102" s="6"/>
      <c r="BW102" s="6"/>
      <c r="BX102" s="6"/>
      <c r="BY102" s="6"/>
      <c r="BZ102" s="6"/>
      <c r="CA102" s="6"/>
      <c r="CB102" s="6"/>
      <c r="CC102" s="6"/>
      <c r="CD102" s="6"/>
      <c r="CE102" s="6"/>
      <c r="CF102" s="6"/>
      <c r="CG102" s="9">
        <v>116.27</v>
      </c>
    </row>
    <row r="103" spans="1:85" x14ac:dyDescent="0.3">
      <c r="A103" s="3" t="str">
        <f t="shared" si="3"/>
        <v>ADDOrganizational Excellence - Program SupportProgram Related Administration (PRA)Other Program Related Administration</v>
      </c>
      <c r="B103" s="6" t="s">
        <v>81</v>
      </c>
      <c r="C103" s="6" t="s">
        <v>166</v>
      </c>
      <c r="D103" s="6" t="s">
        <v>174</v>
      </c>
      <c r="E103" s="6" t="s">
        <v>175</v>
      </c>
      <c r="F103" s="8">
        <v>0.18</v>
      </c>
      <c r="G103" s="8">
        <v>0.15</v>
      </c>
      <c r="H103" s="8">
        <v>0.15</v>
      </c>
      <c r="I103" s="8">
        <v>0.17</v>
      </c>
      <c r="J103" s="8">
        <v>0.13</v>
      </c>
      <c r="K103" s="6"/>
      <c r="L103" s="8">
        <v>0.78</v>
      </c>
      <c r="M103" s="8">
        <v>0.18</v>
      </c>
      <c r="N103" s="8">
        <v>0.21</v>
      </c>
      <c r="O103" s="8">
        <v>0.2</v>
      </c>
      <c r="P103" s="8">
        <v>0.13</v>
      </c>
      <c r="Q103" s="8">
        <v>0.2</v>
      </c>
      <c r="R103" s="6"/>
      <c r="S103" s="8">
        <v>0.92</v>
      </c>
      <c r="T103" s="8">
        <v>0.18</v>
      </c>
      <c r="U103" s="8">
        <v>0.21</v>
      </c>
      <c r="V103" s="8">
        <v>0.11</v>
      </c>
      <c r="W103" s="8">
        <v>0.12</v>
      </c>
      <c r="X103" s="8">
        <v>0.13</v>
      </c>
      <c r="Y103" s="8">
        <v>0</v>
      </c>
      <c r="Z103" s="6"/>
      <c r="AA103" s="8">
        <v>0.75</v>
      </c>
      <c r="AB103" s="8">
        <v>0.24</v>
      </c>
      <c r="AC103" s="8">
        <v>0.16</v>
      </c>
      <c r="AD103" s="8">
        <v>0.34</v>
      </c>
      <c r="AE103" s="8">
        <v>0.37</v>
      </c>
      <c r="AF103" s="8">
        <v>0.25</v>
      </c>
      <c r="AG103" s="6"/>
      <c r="AH103" s="8">
        <v>1.36</v>
      </c>
      <c r="AI103" s="8">
        <v>0.25</v>
      </c>
      <c r="AJ103" s="8">
        <v>0.23</v>
      </c>
      <c r="AK103" s="8">
        <v>0.28999999999999998</v>
      </c>
      <c r="AL103" s="8">
        <v>0.21</v>
      </c>
      <c r="AM103" s="8">
        <v>0.16</v>
      </c>
      <c r="AN103" s="8">
        <v>0.26</v>
      </c>
      <c r="AO103" s="6"/>
      <c r="AP103" s="8">
        <v>1.4</v>
      </c>
      <c r="AQ103" s="8">
        <v>0.09</v>
      </c>
      <c r="AR103" s="8">
        <v>0.06</v>
      </c>
      <c r="AS103" s="8">
        <v>0.02</v>
      </c>
      <c r="AT103" s="8">
        <v>0.09</v>
      </c>
      <c r="AU103" s="6"/>
      <c r="AV103" s="8">
        <v>0.26</v>
      </c>
      <c r="AW103" s="8">
        <v>0.21</v>
      </c>
      <c r="AX103" s="8">
        <v>0.04</v>
      </c>
      <c r="AY103" s="8">
        <v>0.12</v>
      </c>
      <c r="AZ103" s="8">
        <v>0.11</v>
      </c>
      <c r="BA103" s="6"/>
      <c r="BB103" s="8">
        <v>0.48</v>
      </c>
      <c r="BC103" s="8">
        <v>0.06</v>
      </c>
      <c r="BD103" s="8">
        <v>0.06</v>
      </c>
      <c r="BE103" s="8">
        <v>0.22</v>
      </c>
      <c r="BF103" s="8">
        <v>0.22</v>
      </c>
      <c r="BG103" s="8">
        <v>0.44</v>
      </c>
      <c r="BH103" s="6"/>
      <c r="BI103" s="6"/>
      <c r="BJ103" s="6"/>
      <c r="BK103" s="6"/>
      <c r="BL103" s="8">
        <v>6.45</v>
      </c>
      <c r="BM103" s="6"/>
      <c r="BN103" s="6"/>
      <c r="BO103" s="6"/>
      <c r="BP103" s="6"/>
      <c r="BQ103" s="8">
        <v>1.1000000000000001</v>
      </c>
      <c r="BR103" s="8">
        <v>1.1000000000000001</v>
      </c>
      <c r="BS103" s="8">
        <v>1.1000000000000001</v>
      </c>
      <c r="BT103" s="6"/>
      <c r="BU103" s="6"/>
      <c r="BV103" s="6"/>
      <c r="BW103" s="6"/>
      <c r="BX103" s="6"/>
      <c r="BY103" s="6"/>
      <c r="BZ103" s="6"/>
      <c r="CA103" s="6"/>
      <c r="CB103" s="6"/>
      <c r="CC103" s="6"/>
      <c r="CD103" s="6"/>
      <c r="CE103" s="6"/>
      <c r="CF103" s="6"/>
      <c r="CG103" s="9">
        <v>7.55</v>
      </c>
    </row>
    <row r="104" spans="1:85" x14ac:dyDescent="0.3">
      <c r="A104" s="3" t="str">
        <f t="shared" si="3"/>
        <v>ADDOrganizational Excellence - Program SupportProgram Related Administration (PRA)Program Related Technology (PRT)</v>
      </c>
      <c r="B104" s="6" t="s">
        <v>81</v>
      </c>
      <c r="C104" s="6" t="s">
        <v>166</v>
      </c>
      <c r="D104" s="6" t="s">
        <v>174</v>
      </c>
      <c r="E104" s="6" t="s">
        <v>176</v>
      </c>
      <c r="F104" s="8">
        <v>2.5499999999999998</v>
      </c>
      <c r="G104" s="8">
        <v>2.15</v>
      </c>
      <c r="H104" s="8">
        <v>2.14</v>
      </c>
      <c r="I104" s="8">
        <v>2.48</v>
      </c>
      <c r="J104" s="8">
        <v>1.87</v>
      </c>
      <c r="K104" s="6"/>
      <c r="L104" s="8">
        <v>11.19</v>
      </c>
      <c r="M104" s="8">
        <v>2.52</v>
      </c>
      <c r="N104" s="8">
        <v>3.07</v>
      </c>
      <c r="O104" s="8">
        <v>2.86</v>
      </c>
      <c r="P104" s="8">
        <v>1.91</v>
      </c>
      <c r="Q104" s="8">
        <v>2.91</v>
      </c>
      <c r="R104" s="6"/>
      <c r="S104" s="8">
        <v>13.27</v>
      </c>
      <c r="T104" s="8">
        <v>2.61</v>
      </c>
      <c r="U104" s="8">
        <v>3.06</v>
      </c>
      <c r="V104" s="8">
        <v>1.58</v>
      </c>
      <c r="W104" s="8">
        <v>1.67</v>
      </c>
      <c r="X104" s="8">
        <v>1.92</v>
      </c>
      <c r="Y104" s="8">
        <v>0</v>
      </c>
      <c r="Z104" s="6"/>
      <c r="AA104" s="8">
        <v>10.84</v>
      </c>
      <c r="AB104" s="8">
        <v>3.48</v>
      </c>
      <c r="AC104" s="8">
        <v>2.38</v>
      </c>
      <c r="AD104" s="8">
        <v>4.9800000000000004</v>
      </c>
      <c r="AE104" s="8">
        <v>5.27</v>
      </c>
      <c r="AF104" s="8">
        <v>3.45</v>
      </c>
      <c r="AG104" s="6"/>
      <c r="AH104" s="8">
        <v>19.559999999999999</v>
      </c>
      <c r="AI104" s="8">
        <v>3.5</v>
      </c>
      <c r="AJ104" s="8">
        <v>3.38</v>
      </c>
      <c r="AK104" s="8">
        <v>4.16</v>
      </c>
      <c r="AL104" s="8">
        <v>3.09</v>
      </c>
      <c r="AM104" s="8">
        <v>2.2400000000000002</v>
      </c>
      <c r="AN104" s="8">
        <v>3.77</v>
      </c>
      <c r="AO104" s="6"/>
      <c r="AP104" s="8">
        <v>20.14</v>
      </c>
      <c r="AQ104" s="8">
        <v>1.31</v>
      </c>
      <c r="AR104" s="8">
        <v>0.86</v>
      </c>
      <c r="AS104" s="8">
        <v>0.33</v>
      </c>
      <c r="AT104" s="8">
        <v>1.31</v>
      </c>
      <c r="AU104" s="6"/>
      <c r="AV104" s="8">
        <v>3.81</v>
      </c>
      <c r="AW104" s="8">
        <v>3.05</v>
      </c>
      <c r="AX104" s="8">
        <v>0.59</v>
      </c>
      <c r="AY104" s="8">
        <v>1.67</v>
      </c>
      <c r="AZ104" s="8">
        <v>1.57</v>
      </c>
      <c r="BA104" s="6"/>
      <c r="BB104" s="8">
        <v>6.88</v>
      </c>
      <c r="BC104" s="8">
        <v>0.85</v>
      </c>
      <c r="BD104" s="8">
        <v>0.85</v>
      </c>
      <c r="BE104" s="8">
        <v>3.19</v>
      </c>
      <c r="BF104" s="8">
        <v>3.11</v>
      </c>
      <c r="BG104" s="8">
        <v>6.3</v>
      </c>
      <c r="BH104" s="6"/>
      <c r="BI104" s="6"/>
      <c r="BJ104" s="6"/>
      <c r="BK104" s="6"/>
      <c r="BL104" s="8">
        <v>92.84</v>
      </c>
      <c r="BM104" s="6"/>
      <c r="BN104" s="6"/>
      <c r="BO104" s="6"/>
      <c r="BP104" s="6"/>
      <c r="BQ104" s="8">
        <v>15.88</v>
      </c>
      <c r="BR104" s="8">
        <v>15.88</v>
      </c>
      <c r="BS104" s="8">
        <v>15.88</v>
      </c>
      <c r="BT104" s="6"/>
      <c r="BU104" s="6"/>
      <c r="BV104" s="6"/>
      <c r="BW104" s="6"/>
      <c r="BX104" s="6"/>
      <c r="BY104" s="6"/>
      <c r="BZ104" s="6"/>
      <c r="CA104" s="6"/>
      <c r="CB104" s="6"/>
      <c r="CC104" s="6"/>
      <c r="CD104" s="6"/>
      <c r="CE104" s="6"/>
      <c r="CF104" s="6"/>
      <c r="CG104" s="9">
        <v>108.72</v>
      </c>
    </row>
    <row r="105" spans="1:85" x14ac:dyDescent="0.3">
      <c r="A105" s="3" t="str">
        <f t="shared" si="3"/>
        <v>ADDOrganizational Excellence - Program SupportResearch Resources – Public Access InitiativeTotal</v>
      </c>
      <c r="B105" s="6" t="s">
        <v>81</v>
      </c>
      <c r="C105" s="6" t="s">
        <v>166</v>
      </c>
      <c r="D105" s="6" t="s">
        <v>177</v>
      </c>
      <c r="E105" s="6" t="s">
        <v>24</v>
      </c>
      <c r="F105" s="6"/>
      <c r="G105" s="6"/>
      <c r="H105" s="6"/>
      <c r="I105" s="6"/>
      <c r="J105" s="6"/>
      <c r="K105" s="6"/>
      <c r="L105" s="6"/>
      <c r="M105" s="6"/>
      <c r="N105" s="6"/>
      <c r="O105" s="6"/>
      <c r="P105" s="6"/>
      <c r="Q105" s="8">
        <v>1.75</v>
      </c>
      <c r="R105" s="6"/>
      <c r="S105" s="8">
        <v>1.75</v>
      </c>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8">
        <v>0</v>
      </c>
      <c r="AT105" s="6"/>
      <c r="AU105" s="6"/>
      <c r="AV105" s="8">
        <v>0</v>
      </c>
      <c r="AW105" s="6"/>
      <c r="AX105" s="6"/>
      <c r="AY105" s="6"/>
      <c r="AZ105" s="6"/>
      <c r="BA105" s="6"/>
      <c r="BB105" s="6"/>
      <c r="BC105" s="6"/>
      <c r="BD105" s="6"/>
      <c r="BE105" s="6"/>
      <c r="BF105" s="6"/>
      <c r="BG105" s="6"/>
      <c r="BH105" s="6"/>
      <c r="BI105" s="6"/>
      <c r="BJ105" s="6"/>
      <c r="BK105" s="6"/>
      <c r="BL105" s="8">
        <v>1.75</v>
      </c>
      <c r="BM105" s="6"/>
      <c r="BN105" s="6"/>
      <c r="BO105" s="6"/>
      <c r="BP105" s="6"/>
      <c r="BQ105" s="6"/>
      <c r="BR105" s="6"/>
      <c r="BS105" s="6"/>
      <c r="BT105" s="6"/>
      <c r="BU105" s="6"/>
      <c r="BV105" s="6"/>
      <c r="BW105" s="6"/>
      <c r="BX105" s="6"/>
      <c r="BY105" s="6"/>
      <c r="BZ105" s="6"/>
      <c r="CA105" s="6"/>
      <c r="CB105" s="6"/>
      <c r="CC105" s="6"/>
      <c r="CD105" s="6"/>
      <c r="CE105" s="6"/>
      <c r="CF105" s="6"/>
      <c r="CG105" s="9">
        <v>1.75</v>
      </c>
    </row>
    <row r="106" spans="1:85" x14ac:dyDescent="0.3">
      <c r="A106" s="3" t="str">
        <f t="shared" si="3"/>
        <v>ADDOrganizational Excellence - Program SupportResearch Security Strategy and PolicyTotal</v>
      </c>
      <c r="B106" s="6" t="s">
        <v>81</v>
      </c>
      <c r="C106" s="6" t="s">
        <v>166</v>
      </c>
      <c r="D106" s="6" t="s">
        <v>178</v>
      </c>
      <c r="E106" s="6" t="s">
        <v>24</v>
      </c>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8">
        <v>2.5</v>
      </c>
      <c r="BG106" s="8">
        <v>2.5</v>
      </c>
      <c r="BH106" s="6"/>
      <c r="BI106" s="6"/>
      <c r="BJ106" s="6"/>
      <c r="BK106" s="6"/>
      <c r="BL106" s="8">
        <v>2.5</v>
      </c>
      <c r="BM106" s="6"/>
      <c r="BN106" s="6"/>
      <c r="BO106" s="6"/>
      <c r="BP106" s="6"/>
      <c r="BQ106" s="6"/>
      <c r="BR106" s="6"/>
      <c r="BS106" s="6"/>
      <c r="BT106" s="6"/>
      <c r="BU106" s="6"/>
      <c r="BV106" s="6"/>
      <c r="BW106" s="6"/>
      <c r="BX106" s="6"/>
      <c r="BY106" s="6"/>
      <c r="BZ106" s="6"/>
      <c r="CA106" s="6"/>
      <c r="CB106" s="6"/>
      <c r="CC106" s="6"/>
      <c r="CD106" s="6"/>
      <c r="CE106" s="6"/>
      <c r="CF106" s="6"/>
      <c r="CG106" s="9">
        <v>2.5</v>
      </c>
    </row>
    <row r="107" spans="1:85" x14ac:dyDescent="0.3">
      <c r="A107" s="3" t="str">
        <f t="shared" si="3"/>
        <v>ADDResearch InfrastructureTotalTotal</v>
      </c>
      <c r="B107" s="6" t="s">
        <v>81</v>
      </c>
      <c r="C107" s="6" t="s">
        <v>179</v>
      </c>
      <c r="D107" s="6" t="s">
        <v>24</v>
      </c>
      <c r="E107" s="6" t="s">
        <v>24</v>
      </c>
      <c r="F107" s="8">
        <v>113.11</v>
      </c>
      <c r="G107" s="6"/>
      <c r="H107" s="6"/>
      <c r="I107" s="8">
        <v>11</v>
      </c>
      <c r="J107" s="8">
        <v>1</v>
      </c>
      <c r="K107" s="6"/>
      <c r="L107" s="8">
        <v>125.11</v>
      </c>
      <c r="M107" s="8">
        <v>1.6</v>
      </c>
      <c r="N107" s="8">
        <v>23</v>
      </c>
      <c r="O107" s="8">
        <v>2</v>
      </c>
      <c r="P107" s="8">
        <v>11.24</v>
      </c>
      <c r="Q107" s="8">
        <v>144.25</v>
      </c>
      <c r="R107" s="6"/>
      <c r="S107" s="8">
        <v>182.09</v>
      </c>
      <c r="T107" s="8">
        <v>3.69</v>
      </c>
      <c r="U107" s="8">
        <v>17.3</v>
      </c>
      <c r="V107" s="8">
        <v>5.34</v>
      </c>
      <c r="W107" s="6"/>
      <c r="X107" s="8">
        <v>0.1</v>
      </c>
      <c r="Y107" s="6"/>
      <c r="Z107" s="6"/>
      <c r="AA107" s="8">
        <v>26.43</v>
      </c>
      <c r="AB107" s="8">
        <v>152.44</v>
      </c>
      <c r="AC107" s="8">
        <v>62.57</v>
      </c>
      <c r="AD107" s="8">
        <v>230.81</v>
      </c>
      <c r="AE107" s="8">
        <v>321.95999999999998</v>
      </c>
      <c r="AF107" s="8">
        <v>0</v>
      </c>
      <c r="AG107" s="6"/>
      <c r="AH107" s="8">
        <v>767.78</v>
      </c>
      <c r="AI107" s="8">
        <v>214.21</v>
      </c>
      <c r="AJ107" s="8">
        <v>8.65</v>
      </c>
      <c r="AK107" s="8">
        <v>67.180000000000007</v>
      </c>
      <c r="AL107" s="6"/>
      <c r="AM107" s="8">
        <v>23.45</v>
      </c>
      <c r="AN107" s="8">
        <v>88.83</v>
      </c>
      <c r="AO107" s="6"/>
      <c r="AP107" s="8">
        <v>402.32</v>
      </c>
      <c r="AQ107" s="8">
        <v>4.5</v>
      </c>
      <c r="AR107" s="8">
        <v>73.97</v>
      </c>
      <c r="AS107" s="8">
        <v>0</v>
      </c>
      <c r="AT107" s="8">
        <v>5.49</v>
      </c>
      <c r="AU107" s="6"/>
      <c r="AV107" s="8">
        <v>83.96</v>
      </c>
      <c r="AW107" s="6"/>
      <c r="AX107" s="6"/>
      <c r="AY107" s="6"/>
      <c r="AZ107" s="6"/>
      <c r="BA107" s="6"/>
      <c r="BB107" s="6"/>
      <c r="BC107" s="8">
        <v>0.1</v>
      </c>
      <c r="BD107" s="8">
        <v>0.1</v>
      </c>
      <c r="BE107" s="6"/>
      <c r="BF107" s="8">
        <v>128.74</v>
      </c>
      <c r="BG107" s="8">
        <v>128.74</v>
      </c>
      <c r="BH107" s="6"/>
      <c r="BI107" s="6"/>
      <c r="BJ107" s="8">
        <v>90</v>
      </c>
      <c r="BK107" s="8">
        <v>90</v>
      </c>
      <c r="BL107" s="8">
        <v>1806.53</v>
      </c>
      <c r="BM107" s="6"/>
      <c r="BN107" s="6"/>
      <c r="BO107" s="6"/>
      <c r="BP107" s="6"/>
      <c r="BQ107" s="6"/>
      <c r="BR107" s="6"/>
      <c r="BS107" s="6"/>
      <c r="BT107" s="8">
        <v>186.23</v>
      </c>
      <c r="BU107" s="8">
        <v>186.23</v>
      </c>
      <c r="BV107" s="8">
        <v>186.23</v>
      </c>
      <c r="BW107" s="6"/>
      <c r="BX107" s="6"/>
      <c r="BY107" s="6"/>
      <c r="BZ107" s="6"/>
      <c r="CA107" s="6"/>
      <c r="CB107" s="6"/>
      <c r="CC107" s="6"/>
      <c r="CD107" s="6"/>
      <c r="CE107" s="6"/>
      <c r="CF107" s="6"/>
      <c r="CG107" s="9">
        <v>1992.76</v>
      </c>
    </row>
    <row r="108" spans="1:85" x14ac:dyDescent="0.3">
      <c r="A108" s="3" t="str">
        <f t="shared" si="3"/>
        <v>ADDResearch InfrastructureAcademic Research FleetTotal</v>
      </c>
      <c r="B108" s="6" t="s">
        <v>81</v>
      </c>
      <c r="C108" s="6" t="s">
        <v>179</v>
      </c>
      <c r="D108" s="6" t="s">
        <v>180</v>
      </c>
      <c r="E108" s="6" t="s">
        <v>24</v>
      </c>
      <c r="F108" s="6"/>
      <c r="G108" s="6"/>
      <c r="H108" s="6"/>
      <c r="I108" s="6"/>
      <c r="J108" s="6"/>
      <c r="K108" s="6"/>
      <c r="L108" s="6"/>
      <c r="M108" s="6"/>
      <c r="N108" s="6"/>
      <c r="O108" s="6"/>
      <c r="P108" s="6"/>
      <c r="Q108" s="6"/>
      <c r="R108" s="6"/>
      <c r="S108" s="6"/>
      <c r="T108" s="6"/>
      <c r="U108" s="6"/>
      <c r="V108" s="6"/>
      <c r="W108" s="6"/>
      <c r="X108" s="6"/>
      <c r="Y108" s="6"/>
      <c r="Z108" s="6"/>
      <c r="AA108" s="6"/>
      <c r="AB108" s="6"/>
      <c r="AC108" s="6"/>
      <c r="AD108" s="8">
        <v>119.11</v>
      </c>
      <c r="AE108" s="6"/>
      <c r="AF108" s="6"/>
      <c r="AG108" s="6"/>
      <c r="AH108" s="8">
        <v>119.11</v>
      </c>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8">
        <v>119.11</v>
      </c>
      <c r="BM108" s="6"/>
      <c r="BN108" s="6"/>
      <c r="BO108" s="6"/>
      <c r="BP108" s="6"/>
      <c r="BQ108" s="6"/>
      <c r="BR108" s="6"/>
      <c r="BS108" s="6"/>
      <c r="BT108" s="8">
        <v>1.98</v>
      </c>
      <c r="BU108" s="8">
        <v>1.98</v>
      </c>
      <c r="BV108" s="8">
        <v>1.98</v>
      </c>
      <c r="BW108" s="6"/>
      <c r="BX108" s="6"/>
      <c r="BY108" s="6"/>
      <c r="BZ108" s="6"/>
      <c r="CA108" s="6"/>
      <c r="CB108" s="6"/>
      <c r="CC108" s="6"/>
      <c r="CD108" s="6"/>
      <c r="CE108" s="6"/>
      <c r="CF108" s="6"/>
      <c r="CG108" s="9">
        <v>121.09</v>
      </c>
    </row>
    <row r="109" spans="1:85" x14ac:dyDescent="0.3">
      <c r="A109" s="3" t="str">
        <f t="shared" si="3"/>
        <v>ADDResearch InfrastructureAcademic Research FleetARF-Academic Research Fleet, Ship Ops &amp; Upgrades</v>
      </c>
      <c r="B109" s="6" t="s">
        <v>81</v>
      </c>
      <c r="C109" s="6" t="s">
        <v>179</v>
      </c>
      <c r="D109" s="6" t="s">
        <v>180</v>
      </c>
      <c r="E109" s="6" t="s">
        <v>181</v>
      </c>
      <c r="F109" s="6"/>
      <c r="G109" s="6"/>
      <c r="H109" s="6"/>
      <c r="I109" s="6"/>
      <c r="J109" s="6"/>
      <c r="K109" s="6"/>
      <c r="L109" s="6"/>
      <c r="M109" s="6"/>
      <c r="N109" s="6"/>
      <c r="O109" s="6"/>
      <c r="P109" s="6"/>
      <c r="Q109" s="6"/>
      <c r="R109" s="6"/>
      <c r="S109" s="6"/>
      <c r="T109" s="6"/>
      <c r="U109" s="6"/>
      <c r="V109" s="6"/>
      <c r="W109" s="6"/>
      <c r="X109" s="6"/>
      <c r="Y109" s="6"/>
      <c r="Z109" s="6"/>
      <c r="AA109" s="6"/>
      <c r="AB109" s="6"/>
      <c r="AC109" s="6"/>
      <c r="AD109" s="8">
        <v>119.11</v>
      </c>
      <c r="AE109" s="6"/>
      <c r="AF109" s="6"/>
      <c r="AG109" s="6"/>
      <c r="AH109" s="8">
        <v>119.11</v>
      </c>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8">
        <v>119.11</v>
      </c>
      <c r="BM109" s="6"/>
      <c r="BN109" s="6"/>
      <c r="BO109" s="6"/>
      <c r="BP109" s="6"/>
      <c r="BQ109" s="6"/>
      <c r="BR109" s="6"/>
      <c r="BS109" s="6"/>
      <c r="BT109" s="6"/>
      <c r="BU109" s="6"/>
      <c r="BV109" s="6"/>
      <c r="BW109" s="6"/>
      <c r="BX109" s="6"/>
      <c r="BY109" s="6"/>
      <c r="BZ109" s="6"/>
      <c r="CA109" s="6"/>
      <c r="CB109" s="6"/>
      <c r="CC109" s="6"/>
      <c r="CD109" s="6"/>
      <c r="CE109" s="6"/>
      <c r="CF109" s="6"/>
      <c r="CG109" s="9">
        <v>119.11</v>
      </c>
    </row>
    <row r="110" spans="1:85" x14ac:dyDescent="0.3">
      <c r="A110" s="3" t="str">
        <f t="shared" si="3"/>
        <v>ADDResearch InfrastructureAcademic Research FleetARF-Regional Class Research Vessels (RCRV)</v>
      </c>
      <c r="B110" s="6" t="s">
        <v>81</v>
      </c>
      <c r="C110" s="6" t="s">
        <v>179</v>
      </c>
      <c r="D110" s="6" t="s">
        <v>180</v>
      </c>
      <c r="E110" s="6" t="s">
        <v>182</v>
      </c>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8">
        <v>1.98</v>
      </c>
      <c r="BU110" s="8">
        <v>1.98</v>
      </c>
      <c r="BV110" s="8">
        <v>1.98</v>
      </c>
      <c r="BW110" s="6"/>
      <c r="BX110" s="6"/>
      <c r="BY110" s="6"/>
      <c r="BZ110" s="6"/>
      <c r="CA110" s="6"/>
      <c r="CB110" s="6"/>
      <c r="CC110" s="6"/>
      <c r="CD110" s="6"/>
      <c r="CE110" s="6"/>
      <c r="CF110" s="6"/>
      <c r="CG110" s="9">
        <v>1.98</v>
      </c>
    </row>
    <row r="111" spans="1:85" x14ac:dyDescent="0.3">
      <c r="A111" s="3" t="str">
        <f t="shared" si="3"/>
        <v>ADDResearch InfrastructureAntarctic Facilities and OperationsTotal</v>
      </c>
      <c r="B111" s="6" t="s">
        <v>81</v>
      </c>
      <c r="C111" s="6" t="s">
        <v>179</v>
      </c>
      <c r="D111" s="6" t="s">
        <v>183</v>
      </c>
      <c r="E111" s="6" t="s">
        <v>24</v>
      </c>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8">
        <v>243.67</v>
      </c>
      <c r="AF111" s="6"/>
      <c r="AG111" s="6"/>
      <c r="AH111" s="8">
        <v>243.67</v>
      </c>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8">
        <v>243.67</v>
      </c>
      <c r="BM111" s="6"/>
      <c r="BN111" s="6"/>
      <c r="BO111" s="6"/>
      <c r="BP111" s="6"/>
      <c r="BQ111" s="6"/>
      <c r="BR111" s="6"/>
      <c r="BS111" s="6"/>
      <c r="BT111" s="6"/>
      <c r="BU111" s="6"/>
      <c r="BV111" s="6"/>
      <c r="BW111" s="6"/>
      <c r="BX111" s="6"/>
      <c r="BY111" s="6"/>
      <c r="BZ111" s="6"/>
      <c r="CA111" s="6"/>
      <c r="CB111" s="6"/>
      <c r="CC111" s="6"/>
      <c r="CD111" s="6"/>
      <c r="CE111" s="6"/>
      <c r="CF111" s="6"/>
      <c r="CG111" s="9">
        <v>243.67</v>
      </c>
    </row>
    <row r="112" spans="1:85" x14ac:dyDescent="0.3">
      <c r="A112" s="3" t="str">
        <f t="shared" si="3"/>
        <v>ADDResearch InfrastructureAntarctic Infrastructure Modernization for Science (AIMS)Total</v>
      </c>
      <c r="B112" s="6" t="s">
        <v>81</v>
      </c>
      <c r="C112" s="6" t="s">
        <v>179</v>
      </c>
      <c r="D112" s="6" t="s">
        <v>184</v>
      </c>
      <c r="E112" s="6" t="s">
        <v>24</v>
      </c>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8">
        <v>0</v>
      </c>
      <c r="AF112" s="6"/>
      <c r="AG112" s="6"/>
      <c r="AH112" s="8">
        <v>0</v>
      </c>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8">
        <v>0</v>
      </c>
      <c r="BM112" s="6"/>
      <c r="BN112" s="6"/>
      <c r="BO112" s="6"/>
      <c r="BP112" s="6"/>
      <c r="BQ112" s="6"/>
      <c r="BR112" s="6"/>
      <c r="BS112" s="6"/>
      <c r="BT112" s="8">
        <v>0</v>
      </c>
      <c r="BU112" s="8">
        <v>0</v>
      </c>
      <c r="BV112" s="8">
        <v>0</v>
      </c>
      <c r="BW112" s="6"/>
      <c r="BX112" s="6"/>
      <c r="BY112" s="6"/>
      <c r="BZ112" s="6"/>
      <c r="CA112" s="6"/>
      <c r="CB112" s="6"/>
      <c r="CC112" s="6"/>
      <c r="CD112" s="6"/>
      <c r="CE112" s="6"/>
      <c r="CF112" s="6"/>
      <c r="CG112" s="9">
        <v>0</v>
      </c>
    </row>
    <row r="113" spans="1:85" x14ac:dyDescent="0.3">
      <c r="A113" s="3" t="str">
        <f t="shared" si="3"/>
        <v>ADDResearch InfrastructureAntarctic Infrastructure Recapitalization (AIR)Total</v>
      </c>
      <c r="B113" s="6" t="s">
        <v>81</v>
      </c>
      <c r="C113" s="6" t="s">
        <v>179</v>
      </c>
      <c r="D113" s="6" t="s">
        <v>185</v>
      </c>
      <c r="E113" s="6" t="s">
        <v>24</v>
      </c>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8">
        <v>60</v>
      </c>
      <c r="BU113" s="8">
        <v>60</v>
      </c>
      <c r="BV113" s="8">
        <v>60</v>
      </c>
      <c r="BW113" s="6"/>
      <c r="BX113" s="6"/>
      <c r="BY113" s="6"/>
      <c r="BZ113" s="6"/>
      <c r="CA113" s="6"/>
      <c r="CB113" s="6"/>
      <c r="CC113" s="6"/>
      <c r="CD113" s="6"/>
      <c r="CE113" s="6"/>
      <c r="CF113" s="6"/>
      <c r="CG113" s="9">
        <v>60</v>
      </c>
    </row>
    <row r="114" spans="1:85" x14ac:dyDescent="0.3">
      <c r="A114" s="3" t="str">
        <f t="shared" si="3"/>
        <v>ADDResearch InfrastructureAntarctic LogisticsTotal</v>
      </c>
      <c r="B114" s="6" t="s">
        <v>81</v>
      </c>
      <c r="C114" s="6" t="s">
        <v>179</v>
      </c>
      <c r="D114" s="6" t="s">
        <v>186</v>
      </c>
      <c r="E114" s="6" t="s">
        <v>24</v>
      </c>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8">
        <v>0</v>
      </c>
      <c r="AF114" s="6"/>
      <c r="AG114" s="6"/>
      <c r="AH114" s="8">
        <v>0</v>
      </c>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8">
        <v>90</v>
      </c>
      <c r="BK114" s="8">
        <v>90</v>
      </c>
      <c r="BL114" s="8">
        <v>90</v>
      </c>
      <c r="BM114" s="6"/>
      <c r="BN114" s="6"/>
      <c r="BO114" s="6"/>
      <c r="BP114" s="6"/>
      <c r="BQ114" s="6"/>
      <c r="BR114" s="6"/>
      <c r="BS114" s="6"/>
      <c r="BT114" s="6"/>
      <c r="BU114" s="6"/>
      <c r="BV114" s="6"/>
      <c r="BW114" s="6"/>
      <c r="BX114" s="6"/>
      <c r="BY114" s="6"/>
      <c r="BZ114" s="6"/>
      <c r="CA114" s="6"/>
      <c r="CB114" s="6"/>
      <c r="CC114" s="6"/>
      <c r="CD114" s="6"/>
      <c r="CE114" s="6"/>
      <c r="CF114" s="6"/>
      <c r="CG114" s="9">
        <v>90</v>
      </c>
    </row>
    <row r="115" spans="1:85" x14ac:dyDescent="0.3">
      <c r="A115" s="3" t="str">
        <f t="shared" si="3"/>
        <v>ADDResearch InfrastructureArctic LogisticsTotal</v>
      </c>
      <c r="B115" s="6" t="s">
        <v>81</v>
      </c>
      <c r="C115" s="6" t="s">
        <v>179</v>
      </c>
      <c r="D115" s="6" t="s">
        <v>187</v>
      </c>
      <c r="E115" s="6" t="s">
        <v>24</v>
      </c>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8">
        <v>58</v>
      </c>
      <c r="AF115" s="6"/>
      <c r="AG115" s="6"/>
      <c r="AH115" s="8">
        <v>58</v>
      </c>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8">
        <v>58</v>
      </c>
      <c r="BM115" s="6"/>
      <c r="BN115" s="6"/>
      <c r="BO115" s="6"/>
      <c r="BP115" s="6"/>
      <c r="BQ115" s="6"/>
      <c r="BR115" s="6"/>
      <c r="BS115" s="6"/>
      <c r="BT115" s="6"/>
      <c r="BU115" s="6"/>
      <c r="BV115" s="6"/>
      <c r="BW115" s="6"/>
      <c r="BX115" s="6"/>
      <c r="BY115" s="6"/>
      <c r="BZ115" s="6"/>
      <c r="CA115" s="6"/>
      <c r="CB115" s="6"/>
      <c r="CC115" s="6"/>
      <c r="CD115" s="6"/>
      <c r="CE115" s="6"/>
      <c r="CF115" s="6"/>
      <c r="CG115" s="9">
        <v>58</v>
      </c>
    </row>
    <row r="116" spans="1:85" x14ac:dyDescent="0.3">
      <c r="A116" s="3" t="str">
        <f t="shared" si="3"/>
        <v>ADDResearch InfrastructureArecibo ObservatoryTotal</v>
      </c>
      <c r="B116" s="6" t="s">
        <v>81</v>
      </c>
      <c r="C116" s="6" t="s">
        <v>179</v>
      </c>
      <c r="D116" s="6" t="s">
        <v>188</v>
      </c>
      <c r="E116" s="6" t="s">
        <v>24</v>
      </c>
      <c r="F116" s="6"/>
      <c r="G116" s="6"/>
      <c r="H116" s="6"/>
      <c r="I116" s="6"/>
      <c r="J116" s="6"/>
      <c r="K116" s="6"/>
      <c r="L116" s="6"/>
      <c r="M116" s="6"/>
      <c r="N116" s="6"/>
      <c r="O116" s="6"/>
      <c r="P116" s="6"/>
      <c r="Q116" s="6"/>
      <c r="R116" s="6"/>
      <c r="S116" s="6"/>
      <c r="T116" s="6"/>
      <c r="U116" s="6"/>
      <c r="V116" s="6"/>
      <c r="W116" s="6"/>
      <c r="X116" s="6"/>
      <c r="Y116" s="6"/>
      <c r="Z116" s="6"/>
      <c r="AA116" s="6"/>
      <c r="AB116" s="8">
        <v>3</v>
      </c>
      <c r="AC116" s="6"/>
      <c r="AD116" s="6"/>
      <c r="AE116" s="6"/>
      <c r="AF116" s="6"/>
      <c r="AG116" s="6"/>
      <c r="AH116" s="8">
        <v>3</v>
      </c>
      <c r="AI116" s="8">
        <v>3</v>
      </c>
      <c r="AJ116" s="6"/>
      <c r="AK116" s="6"/>
      <c r="AL116" s="6"/>
      <c r="AM116" s="6"/>
      <c r="AN116" s="6"/>
      <c r="AO116" s="6"/>
      <c r="AP116" s="8">
        <v>3</v>
      </c>
      <c r="AQ116" s="6"/>
      <c r="AR116" s="6"/>
      <c r="AS116" s="6"/>
      <c r="AT116" s="6"/>
      <c r="AU116" s="6"/>
      <c r="AV116" s="6"/>
      <c r="AW116" s="6"/>
      <c r="AX116" s="6"/>
      <c r="AY116" s="6"/>
      <c r="AZ116" s="6"/>
      <c r="BA116" s="6"/>
      <c r="BB116" s="6"/>
      <c r="BC116" s="6"/>
      <c r="BD116" s="6"/>
      <c r="BE116" s="6"/>
      <c r="BF116" s="6"/>
      <c r="BG116" s="6"/>
      <c r="BH116" s="6"/>
      <c r="BI116" s="6"/>
      <c r="BJ116" s="6"/>
      <c r="BK116" s="6"/>
      <c r="BL116" s="8">
        <v>6</v>
      </c>
      <c r="BM116" s="6"/>
      <c r="BN116" s="6"/>
      <c r="BO116" s="6"/>
      <c r="BP116" s="6"/>
      <c r="BQ116" s="6"/>
      <c r="BR116" s="6"/>
      <c r="BS116" s="6"/>
      <c r="BT116" s="6"/>
      <c r="BU116" s="6"/>
      <c r="BV116" s="6"/>
      <c r="BW116" s="6"/>
      <c r="BX116" s="6"/>
      <c r="BY116" s="6"/>
      <c r="BZ116" s="6"/>
      <c r="CA116" s="6"/>
      <c r="CB116" s="6"/>
      <c r="CC116" s="6"/>
      <c r="CD116" s="6"/>
      <c r="CE116" s="6"/>
      <c r="CF116" s="6"/>
      <c r="CG116" s="9">
        <v>6</v>
      </c>
    </row>
    <row r="117" spans="1:85" x14ac:dyDescent="0.3">
      <c r="A117" s="3" t="str">
        <f t="shared" si="3"/>
        <v>ADDResearch InfrastructureAtacama Large Millimeter Array (ALMA)Total</v>
      </c>
      <c r="B117" s="6" t="s">
        <v>81</v>
      </c>
      <c r="C117" s="6" t="s">
        <v>179</v>
      </c>
      <c r="D117" s="6" t="s">
        <v>190</v>
      </c>
      <c r="E117" s="6" t="s">
        <v>24</v>
      </c>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8">
        <v>50.63</v>
      </c>
      <c r="AJ117" s="6"/>
      <c r="AK117" s="6"/>
      <c r="AL117" s="6"/>
      <c r="AM117" s="8">
        <v>3.03</v>
      </c>
      <c r="AN117" s="6"/>
      <c r="AO117" s="6"/>
      <c r="AP117" s="8">
        <v>53.66</v>
      </c>
      <c r="AQ117" s="6"/>
      <c r="AR117" s="6"/>
      <c r="AS117" s="6"/>
      <c r="AT117" s="6"/>
      <c r="AU117" s="6"/>
      <c r="AV117" s="6"/>
      <c r="AW117" s="6"/>
      <c r="AX117" s="6"/>
      <c r="AY117" s="6"/>
      <c r="AZ117" s="6"/>
      <c r="BA117" s="6"/>
      <c r="BB117" s="6"/>
      <c r="BC117" s="6"/>
      <c r="BD117" s="6"/>
      <c r="BE117" s="6"/>
      <c r="BF117" s="6"/>
      <c r="BG117" s="6"/>
      <c r="BH117" s="6"/>
      <c r="BI117" s="6"/>
      <c r="BJ117" s="6"/>
      <c r="BK117" s="6"/>
      <c r="BL117" s="8">
        <v>53.66</v>
      </c>
      <c r="BM117" s="6"/>
      <c r="BN117" s="6"/>
      <c r="BO117" s="6"/>
      <c r="BP117" s="6"/>
      <c r="BQ117" s="6"/>
      <c r="BR117" s="6"/>
      <c r="BS117" s="6"/>
      <c r="BT117" s="8">
        <v>0</v>
      </c>
      <c r="BU117" s="8">
        <v>0</v>
      </c>
      <c r="BV117" s="8">
        <v>0</v>
      </c>
      <c r="BW117" s="6"/>
      <c r="BX117" s="6"/>
      <c r="BY117" s="6"/>
      <c r="BZ117" s="6"/>
      <c r="CA117" s="6"/>
      <c r="CB117" s="6"/>
      <c r="CC117" s="6"/>
      <c r="CD117" s="6"/>
      <c r="CE117" s="6"/>
      <c r="CF117" s="6"/>
      <c r="CG117" s="9">
        <v>53.66</v>
      </c>
    </row>
    <row r="118" spans="1:85" x14ac:dyDescent="0.3">
      <c r="A118" s="3" t="str">
        <f t="shared" si="3"/>
        <v>ADDResearch InfrastructureCenter for High Energy X-ray Science (CHEXS)Total</v>
      </c>
      <c r="B118" s="6" t="s">
        <v>81</v>
      </c>
      <c r="C118" s="6" t="s">
        <v>179</v>
      </c>
      <c r="D118" s="6" t="s">
        <v>191</v>
      </c>
      <c r="E118" s="6" t="s">
        <v>24</v>
      </c>
      <c r="F118" s="6"/>
      <c r="G118" s="6"/>
      <c r="H118" s="6"/>
      <c r="I118" s="6"/>
      <c r="J118" s="8">
        <v>1</v>
      </c>
      <c r="K118" s="6"/>
      <c r="L118" s="8">
        <v>1</v>
      </c>
      <c r="M118" s="6"/>
      <c r="N118" s="6"/>
      <c r="O118" s="6"/>
      <c r="P118" s="6"/>
      <c r="Q118" s="6"/>
      <c r="R118" s="6"/>
      <c r="S118" s="6"/>
      <c r="T118" s="6"/>
      <c r="U118" s="8">
        <v>0.8</v>
      </c>
      <c r="V118" s="8">
        <v>0.1</v>
      </c>
      <c r="W118" s="6"/>
      <c r="X118" s="8">
        <v>0.1</v>
      </c>
      <c r="Y118" s="6"/>
      <c r="Z118" s="6"/>
      <c r="AA118" s="8">
        <v>1</v>
      </c>
      <c r="AB118" s="6"/>
      <c r="AC118" s="6"/>
      <c r="AD118" s="6"/>
      <c r="AE118" s="6"/>
      <c r="AF118" s="6"/>
      <c r="AG118" s="6"/>
      <c r="AH118" s="6"/>
      <c r="AI118" s="6"/>
      <c r="AJ118" s="6"/>
      <c r="AK118" s="8">
        <v>7</v>
      </c>
      <c r="AL118" s="6"/>
      <c r="AM118" s="6"/>
      <c r="AN118" s="6"/>
      <c r="AO118" s="6"/>
      <c r="AP118" s="8">
        <v>7</v>
      </c>
      <c r="AQ118" s="6"/>
      <c r="AR118" s="6"/>
      <c r="AS118" s="6"/>
      <c r="AT118" s="6"/>
      <c r="AU118" s="6"/>
      <c r="AV118" s="6"/>
      <c r="AW118" s="6"/>
      <c r="AX118" s="6"/>
      <c r="AY118" s="6"/>
      <c r="AZ118" s="6"/>
      <c r="BA118" s="6"/>
      <c r="BB118" s="6"/>
      <c r="BC118" s="6"/>
      <c r="BD118" s="6"/>
      <c r="BE118" s="6"/>
      <c r="BF118" s="6"/>
      <c r="BG118" s="6"/>
      <c r="BH118" s="6"/>
      <c r="BI118" s="6"/>
      <c r="BJ118" s="6"/>
      <c r="BK118" s="6"/>
      <c r="BL118" s="8">
        <v>9</v>
      </c>
      <c r="BM118" s="6"/>
      <c r="BN118" s="6"/>
      <c r="BO118" s="6"/>
      <c r="BP118" s="6"/>
      <c r="BQ118" s="6"/>
      <c r="BR118" s="6"/>
      <c r="BS118" s="6"/>
      <c r="BT118" s="6"/>
      <c r="BU118" s="6"/>
      <c r="BV118" s="6"/>
      <c r="BW118" s="6"/>
      <c r="BX118" s="6"/>
      <c r="BY118" s="6"/>
      <c r="BZ118" s="6"/>
      <c r="CA118" s="6"/>
      <c r="CB118" s="6"/>
      <c r="CC118" s="6"/>
      <c r="CD118" s="6"/>
      <c r="CE118" s="6"/>
      <c r="CF118" s="6"/>
      <c r="CG118" s="9">
        <v>9</v>
      </c>
    </row>
    <row r="119" spans="1:85" x14ac:dyDescent="0.3">
      <c r="A119" s="3" t="str">
        <f t="shared" si="3"/>
        <v>ADDResearch InfrastructureDaniel K. Inouye Solar Telescope (DKIST)Total</v>
      </c>
      <c r="B119" s="6" t="s">
        <v>81</v>
      </c>
      <c r="C119" s="6" t="s">
        <v>179</v>
      </c>
      <c r="D119" s="6" t="s">
        <v>192</v>
      </c>
      <c r="E119" s="6" t="s">
        <v>24</v>
      </c>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8">
        <v>19.579999999999998</v>
      </c>
      <c r="AJ119" s="6"/>
      <c r="AK119" s="6"/>
      <c r="AL119" s="6"/>
      <c r="AM119" s="8">
        <v>1.1000000000000001</v>
      </c>
      <c r="AN119" s="6"/>
      <c r="AO119" s="6"/>
      <c r="AP119" s="8">
        <v>20.68</v>
      </c>
      <c r="AQ119" s="6"/>
      <c r="AR119" s="6"/>
      <c r="AS119" s="6"/>
      <c r="AT119" s="6"/>
      <c r="AU119" s="6"/>
      <c r="AV119" s="6"/>
      <c r="AW119" s="6"/>
      <c r="AX119" s="6"/>
      <c r="AY119" s="6"/>
      <c r="AZ119" s="6"/>
      <c r="BA119" s="6"/>
      <c r="BB119" s="6"/>
      <c r="BC119" s="6"/>
      <c r="BD119" s="6"/>
      <c r="BE119" s="6"/>
      <c r="BF119" s="6"/>
      <c r="BG119" s="6"/>
      <c r="BH119" s="6"/>
      <c r="BI119" s="6"/>
      <c r="BJ119" s="6"/>
      <c r="BK119" s="6"/>
      <c r="BL119" s="8">
        <v>20.68</v>
      </c>
      <c r="BM119" s="6"/>
      <c r="BN119" s="6"/>
      <c r="BO119" s="6"/>
      <c r="BP119" s="6"/>
      <c r="BQ119" s="6"/>
      <c r="BR119" s="6"/>
      <c r="BS119" s="6"/>
      <c r="BT119" s="8">
        <v>0</v>
      </c>
      <c r="BU119" s="8">
        <v>0</v>
      </c>
      <c r="BV119" s="8">
        <v>0</v>
      </c>
      <c r="BW119" s="6"/>
      <c r="BX119" s="6"/>
      <c r="BY119" s="6"/>
      <c r="BZ119" s="6"/>
      <c r="CA119" s="6"/>
      <c r="CB119" s="6"/>
      <c r="CC119" s="6"/>
      <c r="CD119" s="6"/>
      <c r="CE119" s="6"/>
      <c r="CF119" s="6"/>
      <c r="CG119" s="9">
        <v>20.68</v>
      </c>
    </row>
    <row r="120" spans="1:85" x14ac:dyDescent="0.3">
      <c r="A120" s="3" t="str">
        <f t="shared" si="3"/>
        <v>ADDResearch InfrastructureGemini ObservatoryTotal</v>
      </c>
      <c r="B120" s="6" t="s">
        <v>81</v>
      </c>
      <c r="C120" s="6" t="s">
        <v>179</v>
      </c>
      <c r="D120" s="6" t="s">
        <v>193</v>
      </c>
      <c r="E120" s="6" t="s">
        <v>24</v>
      </c>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8">
        <v>22.98</v>
      </c>
      <c r="AJ120" s="6"/>
      <c r="AK120" s="6"/>
      <c r="AL120" s="6"/>
      <c r="AM120" s="8">
        <v>1.63</v>
      </c>
      <c r="AN120" s="6"/>
      <c r="AO120" s="6"/>
      <c r="AP120" s="8">
        <v>24.61</v>
      </c>
      <c r="AQ120" s="6"/>
      <c r="AR120" s="6"/>
      <c r="AS120" s="6"/>
      <c r="AT120" s="6"/>
      <c r="AU120" s="6"/>
      <c r="AV120" s="6"/>
      <c r="AW120" s="6"/>
      <c r="AX120" s="6"/>
      <c r="AY120" s="6"/>
      <c r="AZ120" s="6"/>
      <c r="BA120" s="6"/>
      <c r="BB120" s="6"/>
      <c r="BC120" s="6"/>
      <c r="BD120" s="6"/>
      <c r="BE120" s="6"/>
      <c r="BF120" s="6"/>
      <c r="BG120" s="6"/>
      <c r="BH120" s="6"/>
      <c r="BI120" s="6"/>
      <c r="BJ120" s="6"/>
      <c r="BK120" s="6"/>
      <c r="BL120" s="8">
        <v>24.61</v>
      </c>
      <c r="BM120" s="6"/>
      <c r="BN120" s="6"/>
      <c r="BO120" s="6"/>
      <c r="BP120" s="6"/>
      <c r="BQ120" s="6"/>
      <c r="BR120" s="6"/>
      <c r="BS120" s="6"/>
      <c r="BT120" s="6"/>
      <c r="BU120" s="6"/>
      <c r="BV120" s="6"/>
      <c r="BW120" s="6"/>
      <c r="BX120" s="6"/>
      <c r="BY120" s="6"/>
      <c r="BZ120" s="6"/>
      <c r="CA120" s="6"/>
      <c r="CB120" s="6"/>
      <c r="CC120" s="6"/>
      <c r="CD120" s="6"/>
      <c r="CE120" s="6"/>
      <c r="CF120" s="6"/>
      <c r="CG120" s="9">
        <v>24.61</v>
      </c>
    </row>
    <row r="121" spans="1:85" x14ac:dyDescent="0.3">
      <c r="A121" s="3" t="str">
        <f t="shared" si="3"/>
        <v>ADDResearch InfrastructureGeodetic Facility for the Advancement of GEoscience (GAGE)Total</v>
      </c>
      <c r="B121" s="6" t="s">
        <v>81</v>
      </c>
      <c r="C121" s="6" t="s">
        <v>179</v>
      </c>
      <c r="D121" s="6" t="s">
        <v>194</v>
      </c>
      <c r="E121" s="6" t="s">
        <v>24</v>
      </c>
      <c r="F121" s="6"/>
      <c r="G121" s="6"/>
      <c r="H121" s="6"/>
      <c r="I121" s="6"/>
      <c r="J121" s="6"/>
      <c r="K121" s="6"/>
      <c r="L121" s="6"/>
      <c r="M121" s="6"/>
      <c r="N121" s="6"/>
      <c r="O121" s="6"/>
      <c r="P121" s="6"/>
      <c r="Q121" s="6"/>
      <c r="R121" s="6"/>
      <c r="S121" s="6"/>
      <c r="T121" s="6"/>
      <c r="U121" s="6"/>
      <c r="V121" s="6"/>
      <c r="W121" s="6"/>
      <c r="X121" s="6"/>
      <c r="Y121" s="6"/>
      <c r="Z121" s="6"/>
      <c r="AA121" s="6"/>
      <c r="AB121" s="6"/>
      <c r="AC121" s="8">
        <v>13.25</v>
      </c>
      <c r="AD121" s="6"/>
      <c r="AE121" s="8">
        <v>1.3</v>
      </c>
      <c r="AF121" s="6"/>
      <c r="AG121" s="6"/>
      <c r="AH121" s="8">
        <v>14.55</v>
      </c>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8">
        <v>14.55</v>
      </c>
      <c r="BM121" s="6"/>
      <c r="BN121" s="6"/>
      <c r="BO121" s="6"/>
      <c r="BP121" s="6"/>
      <c r="BQ121" s="6"/>
      <c r="BR121" s="6"/>
      <c r="BS121" s="6"/>
      <c r="BT121" s="6"/>
      <c r="BU121" s="6"/>
      <c r="BV121" s="6"/>
      <c r="BW121" s="6"/>
      <c r="BX121" s="6"/>
      <c r="BY121" s="6"/>
      <c r="BZ121" s="6"/>
      <c r="CA121" s="6"/>
      <c r="CB121" s="6"/>
      <c r="CC121" s="6"/>
      <c r="CD121" s="6"/>
      <c r="CE121" s="6"/>
      <c r="CF121" s="6"/>
      <c r="CG121" s="9">
        <v>14.55</v>
      </c>
    </row>
    <row r="122" spans="1:85" x14ac:dyDescent="0.3">
      <c r="A122" s="3" t="str">
        <f t="shared" si="3"/>
        <v>ADDResearch InfrastructureGreen Bank Observatory (GBO)Total</v>
      </c>
      <c r="B122" s="6" t="s">
        <v>81</v>
      </c>
      <c r="C122" s="6" t="s">
        <v>179</v>
      </c>
      <c r="D122" s="6" t="s">
        <v>195</v>
      </c>
      <c r="E122" s="6" t="s">
        <v>24</v>
      </c>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8">
        <v>9.1199999999999992</v>
      </c>
      <c r="AJ122" s="6"/>
      <c r="AK122" s="6"/>
      <c r="AL122" s="6"/>
      <c r="AM122" s="8">
        <v>1.71</v>
      </c>
      <c r="AN122" s="6"/>
      <c r="AO122" s="6"/>
      <c r="AP122" s="8">
        <v>10.83</v>
      </c>
      <c r="AQ122" s="6"/>
      <c r="AR122" s="6"/>
      <c r="AS122" s="6"/>
      <c r="AT122" s="6"/>
      <c r="AU122" s="6"/>
      <c r="AV122" s="6"/>
      <c r="AW122" s="6"/>
      <c r="AX122" s="6"/>
      <c r="AY122" s="6"/>
      <c r="AZ122" s="6"/>
      <c r="BA122" s="6"/>
      <c r="BB122" s="6"/>
      <c r="BC122" s="6"/>
      <c r="BD122" s="6"/>
      <c r="BE122" s="6"/>
      <c r="BF122" s="6"/>
      <c r="BG122" s="6"/>
      <c r="BH122" s="6"/>
      <c r="BI122" s="6"/>
      <c r="BJ122" s="6"/>
      <c r="BK122" s="6"/>
      <c r="BL122" s="8">
        <v>10.83</v>
      </c>
      <c r="BM122" s="6"/>
      <c r="BN122" s="6"/>
      <c r="BO122" s="6"/>
      <c r="BP122" s="6"/>
      <c r="BQ122" s="6"/>
      <c r="BR122" s="6"/>
      <c r="BS122" s="6"/>
      <c r="BT122" s="6"/>
      <c r="BU122" s="6"/>
      <c r="BV122" s="6"/>
      <c r="BW122" s="6"/>
      <c r="BX122" s="6"/>
      <c r="BY122" s="6"/>
      <c r="BZ122" s="6"/>
      <c r="CA122" s="6"/>
      <c r="CB122" s="6"/>
      <c r="CC122" s="6"/>
      <c r="CD122" s="6"/>
      <c r="CE122" s="6"/>
      <c r="CF122" s="6"/>
      <c r="CG122" s="9">
        <v>10.83</v>
      </c>
    </row>
    <row r="123" spans="1:85" x14ac:dyDescent="0.3">
      <c r="A123" s="3" t="str">
        <f t="shared" si="3"/>
        <v>ADDResearch InfrastructureIceCube Neutrino Observatory (IceCube)Total</v>
      </c>
      <c r="B123" s="6" t="s">
        <v>81</v>
      </c>
      <c r="C123" s="6" t="s">
        <v>179</v>
      </c>
      <c r="D123" s="6" t="s">
        <v>196</v>
      </c>
      <c r="E123" s="6" t="s">
        <v>24</v>
      </c>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8">
        <v>3.83</v>
      </c>
      <c r="AF123" s="6"/>
      <c r="AG123" s="6"/>
      <c r="AH123" s="8">
        <v>3.83</v>
      </c>
      <c r="AI123" s="6"/>
      <c r="AJ123" s="6"/>
      <c r="AK123" s="6"/>
      <c r="AL123" s="6"/>
      <c r="AM123" s="6"/>
      <c r="AN123" s="8">
        <v>3.83</v>
      </c>
      <c r="AO123" s="6"/>
      <c r="AP123" s="8">
        <v>3.83</v>
      </c>
      <c r="AQ123" s="6"/>
      <c r="AR123" s="6"/>
      <c r="AS123" s="6"/>
      <c r="AT123" s="6"/>
      <c r="AU123" s="6"/>
      <c r="AV123" s="6"/>
      <c r="AW123" s="6"/>
      <c r="AX123" s="6"/>
      <c r="AY123" s="6"/>
      <c r="AZ123" s="6"/>
      <c r="BA123" s="6"/>
      <c r="BB123" s="6"/>
      <c r="BC123" s="6"/>
      <c r="BD123" s="6"/>
      <c r="BE123" s="6"/>
      <c r="BF123" s="6"/>
      <c r="BG123" s="6"/>
      <c r="BH123" s="6"/>
      <c r="BI123" s="6"/>
      <c r="BJ123" s="6"/>
      <c r="BK123" s="6"/>
      <c r="BL123" s="8">
        <v>7.66</v>
      </c>
      <c r="BM123" s="6"/>
      <c r="BN123" s="6"/>
      <c r="BO123" s="6"/>
      <c r="BP123" s="6"/>
      <c r="BQ123" s="6"/>
      <c r="BR123" s="6"/>
      <c r="BS123" s="6"/>
      <c r="BT123" s="6"/>
      <c r="BU123" s="6"/>
      <c r="BV123" s="6"/>
      <c r="BW123" s="6"/>
      <c r="BX123" s="6"/>
      <c r="BY123" s="6"/>
      <c r="BZ123" s="6"/>
      <c r="CA123" s="6"/>
      <c r="CB123" s="6"/>
      <c r="CC123" s="6"/>
      <c r="CD123" s="6"/>
      <c r="CE123" s="6"/>
      <c r="CF123" s="6"/>
      <c r="CG123" s="9">
        <v>7.66</v>
      </c>
    </row>
    <row r="124" spans="1:85" x14ac:dyDescent="0.3">
      <c r="A124" s="3" t="str">
        <f t="shared" si="3"/>
        <v>ADDResearch InfrastructureInternational Ocean Discovery Program (IODP)Total</v>
      </c>
      <c r="B124" s="6" t="s">
        <v>81</v>
      </c>
      <c r="C124" s="6" t="s">
        <v>179</v>
      </c>
      <c r="D124" s="6" t="s">
        <v>197</v>
      </c>
      <c r="E124" s="6" t="s">
        <v>24</v>
      </c>
      <c r="F124" s="6"/>
      <c r="G124" s="6"/>
      <c r="H124" s="6"/>
      <c r="I124" s="6"/>
      <c r="J124" s="6"/>
      <c r="K124" s="6"/>
      <c r="L124" s="6"/>
      <c r="M124" s="6"/>
      <c r="N124" s="6"/>
      <c r="O124" s="6"/>
      <c r="P124" s="6"/>
      <c r="Q124" s="6"/>
      <c r="R124" s="6"/>
      <c r="S124" s="6"/>
      <c r="T124" s="6"/>
      <c r="U124" s="6"/>
      <c r="V124" s="6"/>
      <c r="W124" s="6"/>
      <c r="X124" s="6"/>
      <c r="Y124" s="6"/>
      <c r="Z124" s="6"/>
      <c r="AA124" s="6"/>
      <c r="AB124" s="6"/>
      <c r="AC124" s="6"/>
      <c r="AD124" s="8">
        <v>50.4</v>
      </c>
      <c r="AE124" s="6"/>
      <c r="AF124" s="6"/>
      <c r="AG124" s="6"/>
      <c r="AH124" s="8">
        <v>50.4</v>
      </c>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8">
        <v>50.4</v>
      </c>
      <c r="BM124" s="6"/>
      <c r="BN124" s="6"/>
      <c r="BO124" s="6"/>
      <c r="BP124" s="6"/>
      <c r="BQ124" s="6"/>
      <c r="BR124" s="6"/>
      <c r="BS124" s="6"/>
      <c r="BT124" s="6"/>
      <c r="BU124" s="6"/>
      <c r="BV124" s="6"/>
      <c r="BW124" s="6"/>
      <c r="BX124" s="6"/>
      <c r="BY124" s="6"/>
      <c r="BZ124" s="6"/>
      <c r="CA124" s="6"/>
      <c r="CB124" s="6"/>
      <c r="CC124" s="6"/>
      <c r="CD124" s="6"/>
      <c r="CE124" s="6"/>
      <c r="CF124" s="6"/>
      <c r="CG124" s="9">
        <v>50.4</v>
      </c>
    </row>
    <row r="125" spans="1:85" x14ac:dyDescent="0.3">
      <c r="A125" s="3" t="str">
        <f t="shared" si="3"/>
        <v>ADDResearch InfrastructureLarge Hadron Collider (LHC)Total</v>
      </c>
      <c r="B125" s="6" t="s">
        <v>81</v>
      </c>
      <c r="C125" s="6" t="s">
        <v>179</v>
      </c>
      <c r="D125" s="6" t="s">
        <v>198</v>
      </c>
      <c r="E125" s="6" t="s">
        <v>24</v>
      </c>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8">
        <v>20.5</v>
      </c>
      <c r="AO125" s="6"/>
      <c r="AP125" s="8">
        <v>20.5</v>
      </c>
      <c r="AQ125" s="6"/>
      <c r="AR125" s="6"/>
      <c r="AS125" s="6"/>
      <c r="AT125" s="6"/>
      <c r="AU125" s="6"/>
      <c r="AV125" s="6"/>
      <c r="AW125" s="6"/>
      <c r="AX125" s="6"/>
      <c r="AY125" s="6"/>
      <c r="AZ125" s="6"/>
      <c r="BA125" s="6"/>
      <c r="BB125" s="6"/>
      <c r="BC125" s="6"/>
      <c r="BD125" s="6"/>
      <c r="BE125" s="6"/>
      <c r="BF125" s="6"/>
      <c r="BG125" s="6"/>
      <c r="BH125" s="6"/>
      <c r="BI125" s="6"/>
      <c r="BJ125" s="6"/>
      <c r="BK125" s="6"/>
      <c r="BL125" s="8">
        <v>20.5</v>
      </c>
      <c r="BM125" s="6"/>
      <c r="BN125" s="6"/>
      <c r="BO125" s="6"/>
      <c r="BP125" s="6"/>
      <c r="BQ125" s="6"/>
      <c r="BR125" s="6"/>
      <c r="BS125" s="6"/>
      <c r="BT125" s="8">
        <v>33</v>
      </c>
      <c r="BU125" s="8">
        <v>33</v>
      </c>
      <c r="BV125" s="8">
        <v>33</v>
      </c>
      <c r="BW125" s="6"/>
      <c r="BX125" s="6"/>
      <c r="BY125" s="6"/>
      <c r="BZ125" s="6"/>
      <c r="CA125" s="6"/>
      <c r="CB125" s="6"/>
      <c r="CC125" s="6"/>
      <c r="CD125" s="6"/>
      <c r="CE125" s="6"/>
      <c r="CF125" s="6"/>
      <c r="CG125" s="9">
        <v>53.5</v>
      </c>
    </row>
    <row r="126" spans="1:85" x14ac:dyDescent="0.3">
      <c r="A126" s="3" t="str">
        <f t="shared" si="3"/>
        <v>ADDResearch InfrastructureLaser-Interferometer Gravitational-Wave Observatory (LIGO)Total</v>
      </c>
      <c r="B126" s="6" t="s">
        <v>81</v>
      </c>
      <c r="C126" s="6" t="s">
        <v>179</v>
      </c>
      <c r="D126" s="6" t="s">
        <v>199</v>
      </c>
      <c r="E126" s="6" t="s">
        <v>24</v>
      </c>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8">
        <v>45</v>
      </c>
      <c r="AO126" s="6"/>
      <c r="AP126" s="8">
        <v>45</v>
      </c>
      <c r="AQ126" s="6"/>
      <c r="AR126" s="6"/>
      <c r="AS126" s="6"/>
      <c r="AT126" s="6"/>
      <c r="AU126" s="6"/>
      <c r="AV126" s="6"/>
      <c r="AW126" s="6"/>
      <c r="AX126" s="6"/>
      <c r="AY126" s="6"/>
      <c r="AZ126" s="6"/>
      <c r="BA126" s="6"/>
      <c r="BB126" s="6"/>
      <c r="BC126" s="6"/>
      <c r="BD126" s="6"/>
      <c r="BE126" s="6"/>
      <c r="BF126" s="6"/>
      <c r="BG126" s="6"/>
      <c r="BH126" s="6"/>
      <c r="BI126" s="6"/>
      <c r="BJ126" s="6"/>
      <c r="BK126" s="6"/>
      <c r="BL126" s="8">
        <v>45</v>
      </c>
      <c r="BM126" s="6"/>
      <c r="BN126" s="6"/>
      <c r="BO126" s="6"/>
      <c r="BP126" s="6"/>
      <c r="BQ126" s="6"/>
      <c r="BR126" s="6"/>
      <c r="BS126" s="6"/>
      <c r="BT126" s="6"/>
      <c r="BU126" s="6"/>
      <c r="BV126" s="6"/>
      <c r="BW126" s="6"/>
      <c r="BX126" s="6"/>
      <c r="BY126" s="6"/>
      <c r="BZ126" s="6"/>
      <c r="CA126" s="6"/>
      <c r="CB126" s="6"/>
      <c r="CC126" s="6"/>
      <c r="CD126" s="6"/>
      <c r="CE126" s="6"/>
      <c r="CF126" s="6"/>
      <c r="CG126" s="9">
        <v>45</v>
      </c>
    </row>
    <row r="127" spans="1:85" x14ac:dyDescent="0.3">
      <c r="A127" s="3" t="str">
        <f t="shared" si="3"/>
        <v>ADDResearch InfrastructureMajor Research Instrumentation (MRI)Total</v>
      </c>
      <c r="B127" s="6" t="s">
        <v>81</v>
      </c>
      <c r="C127" s="6" t="s">
        <v>179</v>
      </c>
      <c r="D127" s="6" t="s">
        <v>200</v>
      </c>
      <c r="E127" s="6" t="s">
        <v>24</v>
      </c>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8">
        <v>75</v>
      </c>
      <c r="BG127" s="8">
        <v>75</v>
      </c>
      <c r="BH127" s="6"/>
      <c r="BI127" s="6"/>
      <c r="BJ127" s="6"/>
      <c r="BK127" s="6"/>
      <c r="BL127" s="8">
        <v>75</v>
      </c>
      <c r="BM127" s="6"/>
      <c r="BN127" s="6"/>
      <c r="BO127" s="6"/>
      <c r="BP127" s="6"/>
      <c r="BQ127" s="6"/>
      <c r="BR127" s="6"/>
      <c r="BS127" s="6"/>
      <c r="BT127" s="6"/>
      <c r="BU127" s="6"/>
      <c r="BV127" s="6"/>
      <c r="BW127" s="6"/>
      <c r="BX127" s="6"/>
      <c r="BY127" s="6"/>
      <c r="BZ127" s="6"/>
      <c r="CA127" s="6"/>
      <c r="CB127" s="6"/>
      <c r="CC127" s="6"/>
      <c r="CD127" s="6"/>
      <c r="CE127" s="6"/>
      <c r="CF127" s="6"/>
      <c r="CG127" s="9">
        <v>75</v>
      </c>
    </row>
    <row r="128" spans="1:85" x14ac:dyDescent="0.3">
      <c r="A128" s="3" t="str">
        <f t="shared" si="3"/>
        <v>ADDResearch InfrastructureMRIDP: Mid-scale RI Directorate ProgramsTotal</v>
      </c>
      <c r="B128" s="6" t="s">
        <v>81</v>
      </c>
      <c r="C128" s="6" t="s">
        <v>179</v>
      </c>
      <c r="D128" s="6" t="s">
        <v>201</v>
      </c>
      <c r="E128" s="6" t="s">
        <v>24</v>
      </c>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8">
        <v>0</v>
      </c>
      <c r="AF128" s="8">
        <v>0</v>
      </c>
      <c r="AG128" s="6"/>
      <c r="AH128" s="8">
        <v>0</v>
      </c>
      <c r="AI128" s="8">
        <v>19.5</v>
      </c>
      <c r="AJ128" s="8">
        <v>0.6</v>
      </c>
      <c r="AK128" s="8">
        <v>15.34</v>
      </c>
      <c r="AL128" s="6"/>
      <c r="AM128" s="6"/>
      <c r="AN128" s="8">
        <v>18.5</v>
      </c>
      <c r="AO128" s="6"/>
      <c r="AP128" s="8">
        <v>53.94</v>
      </c>
      <c r="AQ128" s="6"/>
      <c r="AR128" s="6"/>
      <c r="AS128" s="6"/>
      <c r="AT128" s="6"/>
      <c r="AU128" s="6"/>
      <c r="AV128" s="6"/>
      <c r="AW128" s="6"/>
      <c r="AX128" s="6"/>
      <c r="AY128" s="6"/>
      <c r="AZ128" s="6"/>
      <c r="BA128" s="6"/>
      <c r="BB128" s="6"/>
      <c r="BC128" s="6"/>
      <c r="BD128" s="6"/>
      <c r="BE128" s="6"/>
      <c r="BF128" s="6"/>
      <c r="BG128" s="6"/>
      <c r="BH128" s="6"/>
      <c r="BI128" s="6"/>
      <c r="BJ128" s="6"/>
      <c r="BK128" s="6"/>
      <c r="BL128" s="8">
        <v>53.94</v>
      </c>
      <c r="BM128" s="6"/>
      <c r="BN128" s="6"/>
      <c r="BO128" s="6"/>
      <c r="BP128" s="6"/>
      <c r="BQ128" s="6"/>
      <c r="BR128" s="6"/>
      <c r="BS128" s="6"/>
      <c r="BT128" s="6"/>
      <c r="BU128" s="6"/>
      <c r="BV128" s="6"/>
      <c r="BW128" s="6"/>
      <c r="BX128" s="6"/>
      <c r="BY128" s="6"/>
      <c r="BZ128" s="6"/>
      <c r="CA128" s="6"/>
      <c r="CB128" s="6"/>
      <c r="CC128" s="6"/>
      <c r="CD128" s="6"/>
      <c r="CE128" s="6"/>
      <c r="CF128" s="6"/>
      <c r="CG128" s="9">
        <v>53.94</v>
      </c>
    </row>
    <row r="129" spans="1:85" x14ac:dyDescent="0.3">
      <c r="A129" s="3" t="str">
        <f t="shared" si="3"/>
        <v>ADDResearch InfrastructureMSRIAP: Mid-scale Research Infrastructure Agency ProgramTotal</v>
      </c>
      <c r="B129" s="6" t="s">
        <v>81</v>
      </c>
      <c r="C129" s="6" t="s">
        <v>179</v>
      </c>
      <c r="D129" s="6" t="s">
        <v>202</v>
      </c>
      <c r="E129" s="6" t="s">
        <v>24</v>
      </c>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8">
        <v>50</v>
      </c>
      <c r="BG129" s="8">
        <v>50</v>
      </c>
      <c r="BH129" s="6"/>
      <c r="BI129" s="6"/>
      <c r="BJ129" s="6"/>
      <c r="BK129" s="6"/>
      <c r="BL129" s="8">
        <v>50</v>
      </c>
      <c r="BM129" s="6"/>
      <c r="BN129" s="6"/>
      <c r="BO129" s="6"/>
      <c r="BP129" s="6"/>
      <c r="BQ129" s="6"/>
      <c r="BR129" s="6"/>
      <c r="BS129" s="6"/>
      <c r="BT129" s="8">
        <v>76.25</v>
      </c>
      <c r="BU129" s="8">
        <v>76.25</v>
      </c>
      <c r="BV129" s="8">
        <v>76.25</v>
      </c>
      <c r="BW129" s="6"/>
      <c r="BX129" s="6"/>
      <c r="BY129" s="6"/>
      <c r="BZ129" s="6"/>
      <c r="CA129" s="6"/>
      <c r="CB129" s="6"/>
      <c r="CC129" s="6"/>
      <c r="CD129" s="6"/>
      <c r="CE129" s="6"/>
      <c r="CF129" s="6"/>
      <c r="CG129" s="9">
        <v>126.25</v>
      </c>
    </row>
    <row r="130" spans="1:85" x14ac:dyDescent="0.3">
      <c r="A130" s="3" t="str">
        <f t="shared" si="3"/>
        <v>ADDResearch InfrastructureNational Center for Atmospheric Research (NCAR)Total</v>
      </c>
      <c r="B130" s="6" t="s">
        <v>81</v>
      </c>
      <c r="C130" s="6" t="s">
        <v>179</v>
      </c>
      <c r="D130" s="6" t="s">
        <v>203</v>
      </c>
      <c r="E130" s="6" t="s">
        <v>24</v>
      </c>
      <c r="F130" s="6"/>
      <c r="G130" s="6"/>
      <c r="H130" s="6"/>
      <c r="I130" s="6"/>
      <c r="J130" s="6"/>
      <c r="K130" s="6"/>
      <c r="L130" s="6"/>
      <c r="M130" s="6"/>
      <c r="N130" s="6"/>
      <c r="O130" s="6"/>
      <c r="P130" s="6"/>
      <c r="Q130" s="6"/>
      <c r="R130" s="6"/>
      <c r="S130" s="6"/>
      <c r="T130" s="6"/>
      <c r="U130" s="6"/>
      <c r="V130" s="6"/>
      <c r="W130" s="6"/>
      <c r="X130" s="6"/>
      <c r="Y130" s="6"/>
      <c r="Z130" s="6"/>
      <c r="AA130" s="6"/>
      <c r="AB130" s="8">
        <v>116.2</v>
      </c>
      <c r="AC130" s="6"/>
      <c r="AD130" s="6"/>
      <c r="AE130" s="6"/>
      <c r="AF130" s="6"/>
      <c r="AG130" s="6"/>
      <c r="AH130" s="8">
        <v>116.2</v>
      </c>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8">
        <v>116.2</v>
      </c>
      <c r="BM130" s="6"/>
      <c r="BN130" s="6"/>
      <c r="BO130" s="6"/>
      <c r="BP130" s="6"/>
      <c r="BQ130" s="6"/>
      <c r="BR130" s="6"/>
      <c r="BS130" s="6"/>
      <c r="BT130" s="6"/>
      <c r="BU130" s="6"/>
      <c r="BV130" s="6"/>
      <c r="BW130" s="6"/>
      <c r="BX130" s="6"/>
      <c r="BY130" s="6"/>
      <c r="BZ130" s="6"/>
      <c r="CA130" s="6"/>
      <c r="CB130" s="6"/>
      <c r="CC130" s="6"/>
      <c r="CD130" s="6"/>
      <c r="CE130" s="6"/>
      <c r="CF130" s="6"/>
      <c r="CG130" s="9">
        <v>116.2</v>
      </c>
    </row>
    <row r="131" spans="1:85" x14ac:dyDescent="0.3">
      <c r="A131" s="3" t="str">
        <f t="shared" si="3"/>
        <v>ADDResearch InfrastructureNational Center for Science &amp; Engineering Statistics (NCSES)Total</v>
      </c>
      <c r="B131" s="6" t="s">
        <v>81</v>
      </c>
      <c r="C131" s="6" t="s">
        <v>179</v>
      </c>
      <c r="D131" s="6" t="s">
        <v>204</v>
      </c>
      <c r="E131" s="6" t="s">
        <v>24</v>
      </c>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8">
        <v>73.97</v>
      </c>
      <c r="AS131" s="6"/>
      <c r="AT131" s="6"/>
      <c r="AU131" s="6"/>
      <c r="AV131" s="8">
        <v>73.97</v>
      </c>
      <c r="AW131" s="6"/>
      <c r="AX131" s="6"/>
      <c r="AY131" s="6"/>
      <c r="AZ131" s="6"/>
      <c r="BA131" s="6"/>
      <c r="BB131" s="6"/>
      <c r="BC131" s="6"/>
      <c r="BD131" s="6"/>
      <c r="BE131" s="6"/>
      <c r="BF131" s="6"/>
      <c r="BG131" s="6"/>
      <c r="BH131" s="6"/>
      <c r="BI131" s="6"/>
      <c r="BJ131" s="6"/>
      <c r="BK131" s="6"/>
      <c r="BL131" s="8">
        <v>73.97</v>
      </c>
      <c r="BM131" s="6"/>
      <c r="BN131" s="6"/>
      <c r="BO131" s="6"/>
      <c r="BP131" s="6"/>
      <c r="BQ131" s="6"/>
      <c r="BR131" s="6"/>
      <c r="BS131" s="6"/>
      <c r="BT131" s="6"/>
      <c r="BU131" s="6"/>
      <c r="BV131" s="6"/>
      <c r="BW131" s="6"/>
      <c r="BX131" s="6"/>
      <c r="BY131" s="6"/>
      <c r="BZ131" s="6"/>
      <c r="CA131" s="6"/>
      <c r="CB131" s="6"/>
      <c r="CC131" s="6"/>
      <c r="CD131" s="6"/>
      <c r="CE131" s="6"/>
      <c r="CF131" s="6"/>
      <c r="CG131" s="9">
        <v>73.97</v>
      </c>
    </row>
    <row r="132" spans="1:85" x14ac:dyDescent="0.3">
      <c r="A132" s="3" t="str">
        <f t="shared" si="3"/>
        <v>ADDResearch InfrastructureNational Ecological Observatory Network (NEON)Total</v>
      </c>
      <c r="B132" s="6" t="s">
        <v>81</v>
      </c>
      <c r="C132" s="6" t="s">
        <v>179</v>
      </c>
      <c r="D132" s="6" t="s">
        <v>205</v>
      </c>
      <c r="E132" s="6" t="s">
        <v>24</v>
      </c>
      <c r="F132" s="8">
        <v>70</v>
      </c>
      <c r="G132" s="6"/>
      <c r="H132" s="6"/>
      <c r="I132" s="6"/>
      <c r="J132" s="6"/>
      <c r="K132" s="6"/>
      <c r="L132" s="8">
        <v>70</v>
      </c>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8">
        <v>70</v>
      </c>
      <c r="BM132" s="6"/>
      <c r="BN132" s="6"/>
      <c r="BO132" s="6"/>
      <c r="BP132" s="6"/>
      <c r="BQ132" s="6"/>
      <c r="BR132" s="6"/>
      <c r="BS132" s="6"/>
      <c r="BT132" s="8">
        <v>0</v>
      </c>
      <c r="BU132" s="8">
        <v>0</v>
      </c>
      <c r="BV132" s="8">
        <v>0</v>
      </c>
      <c r="BW132" s="6"/>
      <c r="BX132" s="6"/>
      <c r="BY132" s="6"/>
      <c r="BZ132" s="6"/>
      <c r="CA132" s="6"/>
      <c r="CB132" s="6"/>
      <c r="CC132" s="6"/>
      <c r="CD132" s="6"/>
      <c r="CE132" s="6"/>
      <c r="CF132" s="6"/>
      <c r="CG132" s="9">
        <v>70</v>
      </c>
    </row>
    <row r="133" spans="1:85" x14ac:dyDescent="0.3">
      <c r="A133" s="3" t="str">
        <f t="shared" si="3"/>
        <v>ADDResearch InfrastructureNational High-Magnetic Field Laboratory (NHMFL)Total</v>
      </c>
      <c r="B133" s="6" t="s">
        <v>81</v>
      </c>
      <c r="C133" s="6" t="s">
        <v>179</v>
      </c>
      <c r="D133" s="6" t="s">
        <v>206</v>
      </c>
      <c r="E133" s="6" t="s">
        <v>24</v>
      </c>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8">
        <v>2.1</v>
      </c>
      <c r="AK133" s="8">
        <v>37.81</v>
      </c>
      <c r="AL133" s="6"/>
      <c r="AM133" s="8">
        <v>0.57999999999999996</v>
      </c>
      <c r="AN133" s="6"/>
      <c r="AO133" s="6"/>
      <c r="AP133" s="8">
        <v>40.49</v>
      </c>
      <c r="AQ133" s="6"/>
      <c r="AR133" s="6"/>
      <c r="AS133" s="6"/>
      <c r="AT133" s="6"/>
      <c r="AU133" s="6"/>
      <c r="AV133" s="6"/>
      <c r="AW133" s="6"/>
      <c r="AX133" s="6"/>
      <c r="AY133" s="6"/>
      <c r="AZ133" s="6"/>
      <c r="BA133" s="6"/>
      <c r="BB133" s="6"/>
      <c r="BC133" s="6"/>
      <c r="BD133" s="6"/>
      <c r="BE133" s="6"/>
      <c r="BF133" s="6"/>
      <c r="BG133" s="6"/>
      <c r="BH133" s="6"/>
      <c r="BI133" s="6"/>
      <c r="BJ133" s="6"/>
      <c r="BK133" s="6"/>
      <c r="BL133" s="8">
        <v>40.49</v>
      </c>
      <c r="BM133" s="6"/>
      <c r="BN133" s="6"/>
      <c r="BO133" s="6"/>
      <c r="BP133" s="6"/>
      <c r="BQ133" s="6"/>
      <c r="BR133" s="6"/>
      <c r="BS133" s="6"/>
      <c r="BT133" s="6"/>
      <c r="BU133" s="6"/>
      <c r="BV133" s="6"/>
      <c r="BW133" s="6"/>
      <c r="BX133" s="6"/>
      <c r="BY133" s="6"/>
      <c r="BZ133" s="6"/>
      <c r="CA133" s="6"/>
      <c r="CB133" s="6"/>
      <c r="CC133" s="6"/>
      <c r="CD133" s="6"/>
      <c r="CE133" s="6"/>
      <c r="CF133" s="6"/>
      <c r="CG133" s="9">
        <v>40.49</v>
      </c>
    </row>
    <row r="134" spans="1:85" x14ac:dyDescent="0.3">
      <c r="A134" s="3" t="str">
        <f t="shared" si="3"/>
        <v>ADDResearch InfrastructureNational Nanotechnology Coordinated Infrastructure (NNCI)Total</v>
      </c>
      <c r="B134" s="6" t="s">
        <v>81</v>
      </c>
      <c r="C134" s="6" t="s">
        <v>179</v>
      </c>
      <c r="D134" s="6" t="s">
        <v>207</v>
      </c>
      <c r="E134" s="6" t="s">
        <v>24</v>
      </c>
      <c r="F134" s="8">
        <v>0.35</v>
      </c>
      <c r="G134" s="6"/>
      <c r="H134" s="6"/>
      <c r="I134" s="6"/>
      <c r="J134" s="6"/>
      <c r="K134" s="6"/>
      <c r="L134" s="8">
        <v>0.35</v>
      </c>
      <c r="M134" s="8">
        <v>0.6</v>
      </c>
      <c r="N134" s="6"/>
      <c r="O134" s="6"/>
      <c r="P134" s="6"/>
      <c r="Q134" s="6"/>
      <c r="R134" s="6"/>
      <c r="S134" s="8">
        <v>0.6</v>
      </c>
      <c r="T134" s="8">
        <v>3.69</v>
      </c>
      <c r="U134" s="8">
        <v>1.9</v>
      </c>
      <c r="V134" s="8">
        <v>5.24</v>
      </c>
      <c r="W134" s="6"/>
      <c r="X134" s="6"/>
      <c r="Y134" s="6"/>
      <c r="Z134" s="6"/>
      <c r="AA134" s="8">
        <v>10.83</v>
      </c>
      <c r="AB134" s="6"/>
      <c r="AC134" s="8">
        <v>0.3</v>
      </c>
      <c r="AD134" s="6"/>
      <c r="AE134" s="6"/>
      <c r="AF134" s="8">
        <v>0</v>
      </c>
      <c r="AG134" s="6"/>
      <c r="AH134" s="8">
        <v>0.3</v>
      </c>
      <c r="AI134" s="6"/>
      <c r="AJ134" s="8">
        <v>0.3</v>
      </c>
      <c r="AK134" s="8">
        <v>2.58</v>
      </c>
      <c r="AL134" s="6"/>
      <c r="AM134" s="6"/>
      <c r="AN134" s="6"/>
      <c r="AO134" s="6"/>
      <c r="AP134" s="8">
        <v>2.88</v>
      </c>
      <c r="AQ134" s="6"/>
      <c r="AR134" s="6"/>
      <c r="AS134" s="6"/>
      <c r="AT134" s="8">
        <v>0.4</v>
      </c>
      <c r="AU134" s="6"/>
      <c r="AV134" s="8">
        <v>0.4</v>
      </c>
      <c r="AW134" s="6"/>
      <c r="AX134" s="6"/>
      <c r="AY134" s="6"/>
      <c r="AZ134" s="6"/>
      <c r="BA134" s="6"/>
      <c r="BB134" s="6"/>
      <c r="BC134" s="8">
        <v>0.1</v>
      </c>
      <c r="BD134" s="8">
        <v>0.1</v>
      </c>
      <c r="BE134" s="6"/>
      <c r="BF134" s="6"/>
      <c r="BG134" s="6"/>
      <c r="BH134" s="6"/>
      <c r="BI134" s="6"/>
      <c r="BJ134" s="6"/>
      <c r="BK134" s="6"/>
      <c r="BL134" s="8">
        <v>15.46</v>
      </c>
      <c r="BM134" s="6"/>
      <c r="BN134" s="6"/>
      <c r="BO134" s="6"/>
      <c r="BP134" s="6"/>
      <c r="BQ134" s="6"/>
      <c r="BR134" s="6"/>
      <c r="BS134" s="6"/>
      <c r="BT134" s="6"/>
      <c r="BU134" s="6"/>
      <c r="BV134" s="6"/>
      <c r="BW134" s="6"/>
      <c r="BX134" s="6"/>
      <c r="BY134" s="6"/>
      <c r="BZ134" s="6"/>
      <c r="CA134" s="6"/>
      <c r="CB134" s="6"/>
      <c r="CC134" s="6"/>
      <c r="CD134" s="6"/>
      <c r="CE134" s="6"/>
      <c r="CF134" s="6"/>
      <c r="CG134" s="9">
        <v>15.46</v>
      </c>
    </row>
    <row r="135" spans="1:85" x14ac:dyDescent="0.3">
      <c r="A135" s="3" t="str">
        <f t="shared" si="3"/>
        <v>ADDResearch InfrastructureNational Radio Astronomy Observatory (NRAO)Total</v>
      </c>
      <c r="B135" s="6" t="s">
        <v>81</v>
      </c>
      <c r="C135" s="6" t="s">
        <v>179</v>
      </c>
      <c r="D135" s="6" t="s">
        <v>209</v>
      </c>
      <c r="E135" s="6" t="s">
        <v>24</v>
      </c>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8">
        <v>40.53</v>
      </c>
      <c r="AJ135" s="6"/>
      <c r="AK135" s="6"/>
      <c r="AL135" s="6"/>
      <c r="AM135" s="8">
        <v>3.92</v>
      </c>
      <c r="AN135" s="6"/>
      <c r="AO135" s="6"/>
      <c r="AP135" s="8">
        <v>44.45</v>
      </c>
      <c r="AQ135" s="6"/>
      <c r="AR135" s="6"/>
      <c r="AS135" s="6"/>
      <c r="AT135" s="6"/>
      <c r="AU135" s="6"/>
      <c r="AV135" s="6"/>
      <c r="AW135" s="6"/>
      <c r="AX135" s="6"/>
      <c r="AY135" s="6"/>
      <c r="AZ135" s="6"/>
      <c r="BA135" s="6"/>
      <c r="BB135" s="6"/>
      <c r="BC135" s="6"/>
      <c r="BD135" s="6"/>
      <c r="BE135" s="6"/>
      <c r="BF135" s="6"/>
      <c r="BG135" s="6"/>
      <c r="BH135" s="6"/>
      <c r="BI135" s="6"/>
      <c r="BJ135" s="6"/>
      <c r="BK135" s="6"/>
      <c r="BL135" s="8">
        <v>44.45</v>
      </c>
      <c r="BM135" s="6"/>
      <c r="BN135" s="6"/>
      <c r="BO135" s="6"/>
      <c r="BP135" s="6"/>
      <c r="BQ135" s="6"/>
      <c r="BR135" s="6"/>
      <c r="BS135" s="6"/>
      <c r="BT135" s="6"/>
      <c r="BU135" s="6"/>
      <c r="BV135" s="6"/>
      <c r="BW135" s="6"/>
      <c r="BX135" s="6"/>
      <c r="BY135" s="6"/>
      <c r="BZ135" s="6"/>
      <c r="CA135" s="6"/>
      <c r="CB135" s="6"/>
      <c r="CC135" s="6"/>
      <c r="CD135" s="6"/>
      <c r="CE135" s="6"/>
      <c r="CF135" s="6"/>
      <c r="CG135" s="9">
        <v>44.45</v>
      </c>
    </row>
    <row r="136" spans="1:85" x14ac:dyDescent="0.3">
      <c r="A136" s="3" t="str">
        <f t="shared" si="3"/>
        <v>ADDResearch InfrastructureNational Solar Observatory (NSO)Total</v>
      </c>
      <c r="B136" s="6" t="s">
        <v>81</v>
      </c>
      <c r="C136" s="6" t="s">
        <v>179</v>
      </c>
      <c r="D136" s="6" t="s">
        <v>210</v>
      </c>
      <c r="E136" s="6" t="s">
        <v>24</v>
      </c>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8">
        <v>5.88</v>
      </c>
      <c r="AJ136" s="6"/>
      <c r="AK136" s="6"/>
      <c r="AL136" s="6"/>
      <c r="AM136" s="8">
        <v>1.18</v>
      </c>
      <c r="AN136" s="6"/>
      <c r="AO136" s="6"/>
      <c r="AP136" s="8">
        <v>7.06</v>
      </c>
      <c r="AQ136" s="6"/>
      <c r="AR136" s="6"/>
      <c r="AS136" s="6"/>
      <c r="AT136" s="6"/>
      <c r="AU136" s="6"/>
      <c r="AV136" s="6"/>
      <c r="AW136" s="6"/>
      <c r="AX136" s="6"/>
      <c r="AY136" s="6"/>
      <c r="AZ136" s="6"/>
      <c r="BA136" s="6"/>
      <c r="BB136" s="6"/>
      <c r="BC136" s="6"/>
      <c r="BD136" s="6"/>
      <c r="BE136" s="6"/>
      <c r="BF136" s="6"/>
      <c r="BG136" s="6"/>
      <c r="BH136" s="6"/>
      <c r="BI136" s="6"/>
      <c r="BJ136" s="6"/>
      <c r="BK136" s="6"/>
      <c r="BL136" s="8">
        <v>7.06</v>
      </c>
      <c r="BM136" s="6"/>
      <c r="BN136" s="6"/>
      <c r="BO136" s="6"/>
      <c r="BP136" s="6"/>
      <c r="BQ136" s="6"/>
      <c r="BR136" s="6"/>
      <c r="BS136" s="6"/>
      <c r="BT136" s="6"/>
      <c r="BU136" s="6"/>
      <c r="BV136" s="6"/>
      <c r="BW136" s="6"/>
      <c r="BX136" s="6"/>
      <c r="BY136" s="6"/>
      <c r="BZ136" s="6"/>
      <c r="CA136" s="6"/>
      <c r="CB136" s="6"/>
      <c r="CC136" s="6"/>
      <c r="CD136" s="6"/>
      <c r="CE136" s="6"/>
      <c r="CF136" s="6"/>
      <c r="CG136" s="9">
        <v>7.06</v>
      </c>
    </row>
    <row r="137" spans="1:85" x14ac:dyDescent="0.3">
      <c r="A137" s="3" t="str">
        <f t="shared" ref="A137:A200" si="4">CONCATENATE(B137,C137,D137,E137)</f>
        <v>ADDResearch InfrastructureNational Superconducting Cyclotron Laboratory (NSCL)(MSU Cyclotron)Total</v>
      </c>
      <c r="B137" s="6" t="s">
        <v>81</v>
      </c>
      <c r="C137" s="6" t="s">
        <v>179</v>
      </c>
      <c r="D137" s="6" t="s">
        <v>211</v>
      </c>
      <c r="E137" s="6" t="s">
        <v>24</v>
      </c>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8">
        <v>0</v>
      </c>
      <c r="AO137" s="6"/>
      <c r="AP137" s="8">
        <v>0</v>
      </c>
      <c r="AQ137" s="6"/>
      <c r="AR137" s="6"/>
      <c r="AS137" s="6"/>
      <c r="AT137" s="6"/>
      <c r="AU137" s="6"/>
      <c r="AV137" s="6"/>
      <c r="AW137" s="6"/>
      <c r="AX137" s="6"/>
      <c r="AY137" s="6"/>
      <c r="AZ137" s="6"/>
      <c r="BA137" s="6"/>
      <c r="BB137" s="6"/>
      <c r="BC137" s="6"/>
      <c r="BD137" s="6"/>
      <c r="BE137" s="6"/>
      <c r="BF137" s="6"/>
      <c r="BG137" s="6"/>
      <c r="BH137" s="6"/>
      <c r="BI137" s="6"/>
      <c r="BJ137" s="6"/>
      <c r="BK137" s="6"/>
      <c r="BL137" s="8">
        <v>0</v>
      </c>
      <c r="BM137" s="6"/>
      <c r="BN137" s="6"/>
      <c r="BO137" s="6"/>
      <c r="BP137" s="6"/>
      <c r="BQ137" s="6"/>
      <c r="BR137" s="6"/>
      <c r="BS137" s="6"/>
      <c r="BT137" s="6"/>
      <c r="BU137" s="6"/>
      <c r="BV137" s="6"/>
      <c r="BW137" s="6"/>
      <c r="BX137" s="6"/>
      <c r="BY137" s="6"/>
      <c r="BZ137" s="6"/>
      <c r="CA137" s="6"/>
      <c r="CB137" s="6"/>
      <c r="CC137" s="6"/>
      <c r="CD137" s="6"/>
      <c r="CE137" s="6"/>
      <c r="CF137" s="6"/>
      <c r="CG137" s="9">
        <v>0</v>
      </c>
    </row>
    <row r="138" spans="1:85" x14ac:dyDescent="0.3">
      <c r="A138" s="3" t="str">
        <f t="shared" si="4"/>
        <v>ADDResearch InfrastructureNatural Hazards Engineering Research Infrastructure (NHERI)Total</v>
      </c>
      <c r="B138" s="6" t="s">
        <v>81</v>
      </c>
      <c r="C138" s="6" t="s">
        <v>179</v>
      </c>
      <c r="D138" s="6" t="s">
        <v>212</v>
      </c>
      <c r="E138" s="6" t="s">
        <v>24</v>
      </c>
      <c r="F138" s="6"/>
      <c r="G138" s="6"/>
      <c r="H138" s="6"/>
      <c r="I138" s="6"/>
      <c r="J138" s="6"/>
      <c r="K138" s="6"/>
      <c r="L138" s="6"/>
      <c r="M138" s="6"/>
      <c r="N138" s="6"/>
      <c r="O138" s="6"/>
      <c r="P138" s="6"/>
      <c r="Q138" s="6"/>
      <c r="R138" s="6"/>
      <c r="S138" s="6"/>
      <c r="T138" s="6"/>
      <c r="U138" s="8">
        <v>14.6</v>
      </c>
      <c r="V138" s="6"/>
      <c r="W138" s="6"/>
      <c r="X138" s="6"/>
      <c r="Y138" s="6"/>
      <c r="Z138" s="6"/>
      <c r="AA138" s="8">
        <v>14.6</v>
      </c>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8">
        <v>14.6</v>
      </c>
      <c r="BM138" s="6"/>
      <c r="BN138" s="6"/>
      <c r="BO138" s="6"/>
      <c r="BP138" s="6"/>
      <c r="BQ138" s="6"/>
      <c r="BR138" s="6"/>
      <c r="BS138" s="6"/>
      <c r="BT138" s="6"/>
      <c r="BU138" s="6"/>
      <c r="BV138" s="6"/>
      <c r="BW138" s="6"/>
      <c r="BX138" s="6"/>
      <c r="BY138" s="6"/>
      <c r="BZ138" s="6"/>
      <c r="CA138" s="6"/>
      <c r="CB138" s="6"/>
      <c r="CC138" s="6"/>
      <c r="CD138" s="6"/>
      <c r="CE138" s="6"/>
      <c r="CF138" s="6"/>
      <c r="CG138" s="9">
        <v>14.6</v>
      </c>
    </row>
    <row r="139" spans="1:85" x14ac:dyDescent="0.3">
      <c r="A139" s="3" t="str">
        <f t="shared" si="4"/>
        <v>ADDResearch InfrastructureNetworking and Computational Resources Infrastructure and ServicesTotal</v>
      </c>
      <c r="B139" s="6" t="s">
        <v>81</v>
      </c>
      <c r="C139" s="6" t="s">
        <v>179</v>
      </c>
      <c r="D139" s="6" t="s">
        <v>213</v>
      </c>
      <c r="E139" s="6" t="s">
        <v>24</v>
      </c>
      <c r="F139" s="6"/>
      <c r="G139" s="6"/>
      <c r="H139" s="6"/>
      <c r="I139" s="6"/>
      <c r="J139" s="6"/>
      <c r="K139" s="6"/>
      <c r="L139" s="6"/>
      <c r="M139" s="6"/>
      <c r="N139" s="6"/>
      <c r="O139" s="6"/>
      <c r="P139" s="6"/>
      <c r="Q139" s="8">
        <v>144.25</v>
      </c>
      <c r="R139" s="6"/>
      <c r="S139" s="8">
        <v>144.25</v>
      </c>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8">
        <v>144.25</v>
      </c>
      <c r="BM139" s="6"/>
      <c r="BN139" s="6"/>
      <c r="BO139" s="6"/>
      <c r="BP139" s="6"/>
      <c r="BQ139" s="6"/>
      <c r="BR139" s="6"/>
      <c r="BS139" s="6"/>
      <c r="BT139" s="6"/>
      <c r="BU139" s="6"/>
      <c r="BV139" s="6"/>
      <c r="BW139" s="6"/>
      <c r="BX139" s="6"/>
      <c r="BY139" s="6"/>
      <c r="BZ139" s="6"/>
      <c r="CA139" s="6"/>
      <c r="CB139" s="6"/>
      <c r="CC139" s="6"/>
      <c r="CD139" s="6"/>
      <c r="CE139" s="6"/>
      <c r="CF139" s="6"/>
      <c r="CG139" s="9">
        <v>144.25</v>
      </c>
    </row>
    <row r="140" spans="1:85" x14ac:dyDescent="0.3">
      <c r="A140" s="3" t="str">
        <f t="shared" si="4"/>
        <v>ADDResearch InfrastructureNSF National Optical-infrared Astronomy Research LaboratoryTotal</v>
      </c>
      <c r="B140" s="6" t="s">
        <v>81</v>
      </c>
      <c r="C140" s="6" t="s">
        <v>179</v>
      </c>
      <c r="D140" s="6" t="s">
        <v>214</v>
      </c>
      <c r="E140" s="6" t="s">
        <v>24</v>
      </c>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8">
        <v>25.99</v>
      </c>
      <c r="AJ140" s="6"/>
      <c r="AK140" s="6"/>
      <c r="AL140" s="6"/>
      <c r="AM140" s="6"/>
      <c r="AN140" s="6"/>
      <c r="AO140" s="6"/>
      <c r="AP140" s="8">
        <v>25.99</v>
      </c>
      <c r="AQ140" s="6"/>
      <c r="AR140" s="6"/>
      <c r="AS140" s="6"/>
      <c r="AT140" s="6"/>
      <c r="AU140" s="6"/>
      <c r="AV140" s="6"/>
      <c r="AW140" s="6"/>
      <c r="AX140" s="6"/>
      <c r="AY140" s="6"/>
      <c r="AZ140" s="6"/>
      <c r="BA140" s="6"/>
      <c r="BB140" s="6"/>
      <c r="BC140" s="6"/>
      <c r="BD140" s="6"/>
      <c r="BE140" s="6"/>
      <c r="BF140" s="6"/>
      <c r="BG140" s="6"/>
      <c r="BH140" s="6"/>
      <c r="BI140" s="6"/>
      <c r="BJ140" s="6"/>
      <c r="BK140" s="6"/>
      <c r="BL140" s="8">
        <v>25.99</v>
      </c>
      <c r="BM140" s="6"/>
      <c r="BN140" s="6"/>
      <c r="BO140" s="6"/>
      <c r="BP140" s="6"/>
      <c r="BQ140" s="6"/>
      <c r="BR140" s="6"/>
      <c r="BS140" s="6"/>
      <c r="BT140" s="6"/>
      <c r="BU140" s="6"/>
      <c r="BV140" s="6"/>
      <c r="BW140" s="6"/>
      <c r="BX140" s="6"/>
      <c r="BY140" s="6"/>
      <c r="BZ140" s="6"/>
      <c r="CA140" s="6"/>
      <c r="CB140" s="6"/>
      <c r="CC140" s="6"/>
      <c r="CD140" s="6"/>
      <c r="CE140" s="6"/>
      <c r="CF140" s="6"/>
      <c r="CG140" s="9">
        <v>25.99</v>
      </c>
    </row>
    <row r="141" spans="1:85" x14ac:dyDescent="0.3">
      <c r="A141" s="3" t="str">
        <f t="shared" si="4"/>
        <v>ADDResearch InfrastructureOcean Observatories Initiative (OOI)Total</v>
      </c>
      <c r="B141" s="6" t="s">
        <v>81</v>
      </c>
      <c r="C141" s="6" t="s">
        <v>179</v>
      </c>
      <c r="D141" s="6" t="s">
        <v>215</v>
      </c>
      <c r="E141" s="6" t="s">
        <v>24</v>
      </c>
      <c r="F141" s="6"/>
      <c r="G141" s="6"/>
      <c r="H141" s="6"/>
      <c r="I141" s="6"/>
      <c r="J141" s="6"/>
      <c r="K141" s="6"/>
      <c r="L141" s="6"/>
      <c r="M141" s="6"/>
      <c r="N141" s="6"/>
      <c r="O141" s="6"/>
      <c r="P141" s="6"/>
      <c r="Q141" s="6"/>
      <c r="R141" s="6"/>
      <c r="S141" s="6"/>
      <c r="T141" s="6"/>
      <c r="U141" s="6"/>
      <c r="V141" s="6"/>
      <c r="W141" s="6"/>
      <c r="X141" s="6"/>
      <c r="Y141" s="6"/>
      <c r="Z141" s="6"/>
      <c r="AA141" s="6"/>
      <c r="AB141" s="6"/>
      <c r="AC141" s="6"/>
      <c r="AD141" s="8">
        <v>51</v>
      </c>
      <c r="AE141" s="6"/>
      <c r="AF141" s="8">
        <v>0</v>
      </c>
      <c r="AG141" s="6"/>
      <c r="AH141" s="8">
        <v>51</v>
      </c>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8">
        <v>51</v>
      </c>
      <c r="BM141" s="6"/>
      <c r="BN141" s="6"/>
      <c r="BO141" s="6"/>
      <c r="BP141" s="6"/>
      <c r="BQ141" s="6"/>
      <c r="BR141" s="6"/>
      <c r="BS141" s="6"/>
      <c r="BT141" s="8">
        <v>0</v>
      </c>
      <c r="BU141" s="8">
        <v>0</v>
      </c>
      <c r="BV141" s="8">
        <v>0</v>
      </c>
      <c r="BW141" s="6"/>
      <c r="BX141" s="6"/>
      <c r="BY141" s="6"/>
      <c r="BZ141" s="6"/>
      <c r="CA141" s="6"/>
      <c r="CB141" s="6"/>
      <c r="CC141" s="6"/>
      <c r="CD141" s="6"/>
      <c r="CE141" s="6"/>
      <c r="CF141" s="6"/>
      <c r="CG141" s="9">
        <v>51</v>
      </c>
    </row>
    <row r="142" spans="1:85" x14ac:dyDescent="0.3">
      <c r="A142" s="3" t="str">
        <f t="shared" si="4"/>
        <v>ADDResearch InfrastructureOther MPS FacilitiesTotal</v>
      </c>
      <c r="B142" s="6" t="s">
        <v>81</v>
      </c>
      <c r="C142" s="6" t="s">
        <v>179</v>
      </c>
      <c r="D142" s="6" t="s">
        <v>216</v>
      </c>
      <c r="E142" s="6" t="s">
        <v>24</v>
      </c>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8">
        <v>0</v>
      </c>
      <c r="AJ142" s="6"/>
      <c r="AK142" s="8">
        <v>3</v>
      </c>
      <c r="AL142" s="6"/>
      <c r="AM142" s="8">
        <v>0</v>
      </c>
      <c r="AN142" s="6"/>
      <c r="AO142" s="6"/>
      <c r="AP142" s="8">
        <v>3</v>
      </c>
      <c r="AQ142" s="6"/>
      <c r="AR142" s="6"/>
      <c r="AS142" s="6"/>
      <c r="AT142" s="6"/>
      <c r="AU142" s="6"/>
      <c r="AV142" s="6"/>
      <c r="AW142" s="6"/>
      <c r="AX142" s="6"/>
      <c r="AY142" s="6"/>
      <c r="AZ142" s="6"/>
      <c r="BA142" s="6"/>
      <c r="BB142" s="6"/>
      <c r="BC142" s="6"/>
      <c r="BD142" s="6"/>
      <c r="BE142" s="6"/>
      <c r="BF142" s="6"/>
      <c r="BG142" s="6"/>
      <c r="BH142" s="6"/>
      <c r="BI142" s="6"/>
      <c r="BJ142" s="6"/>
      <c r="BK142" s="6"/>
      <c r="BL142" s="8">
        <v>3</v>
      </c>
      <c r="BM142" s="6"/>
      <c r="BN142" s="6"/>
      <c r="BO142" s="6"/>
      <c r="BP142" s="6"/>
      <c r="BQ142" s="6"/>
      <c r="BR142" s="6"/>
      <c r="BS142" s="6"/>
      <c r="BT142" s="6"/>
      <c r="BU142" s="6"/>
      <c r="BV142" s="6"/>
      <c r="BW142" s="6"/>
      <c r="BX142" s="6"/>
      <c r="BY142" s="6"/>
      <c r="BZ142" s="6"/>
      <c r="CA142" s="6"/>
      <c r="CB142" s="6"/>
      <c r="CC142" s="6"/>
      <c r="CD142" s="6"/>
      <c r="CE142" s="6"/>
      <c r="CF142" s="6"/>
      <c r="CG142" s="9">
        <v>3</v>
      </c>
    </row>
    <row r="143" spans="1:85" x14ac:dyDescent="0.3">
      <c r="A143" s="3" t="str">
        <f t="shared" si="4"/>
        <v>ADDResearch InfrastructurePolar Environment, Health, and Safety (PEHS)Total</v>
      </c>
      <c r="B143" s="6" t="s">
        <v>81</v>
      </c>
      <c r="C143" s="6" t="s">
        <v>179</v>
      </c>
      <c r="D143" s="6" t="s">
        <v>217</v>
      </c>
      <c r="E143" s="6" t="s">
        <v>24</v>
      </c>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8">
        <v>9</v>
      </c>
      <c r="AF143" s="6"/>
      <c r="AG143" s="6"/>
      <c r="AH143" s="8">
        <v>9</v>
      </c>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8">
        <v>9</v>
      </c>
      <c r="BM143" s="6"/>
      <c r="BN143" s="6"/>
      <c r="BO143" s="6"/>
      <c r="BP143" s="6"/>
      <c r="BQ143" s="6"/>
      <c r="BR143" s="6"/>
      <c r="BS143" s="6"/>
      <c r="BT143" s="6"/>
      <c r="BU143" s="6"/>
      <c r="BV143" s="6"/>
      <c r="BW143" s="6"/>
      <c r="BX143" s="6"/>
      <c r="BY143" s="6"/>
      <c r="BZ143" s="6"/>
      <c r="CA143" s="6"/>
      <c r="CB143" s="6"/>
      <c r="CC143" s="6"/>
      <c r="CD143" s="6"/>
      <c r="CE143" s="6"/>
      <c r="CF143" s="6"/>
      <c r="CG143" s="9">
        <v>9</v>
      </c>
    </row>
    <row r="144" spans="1:85" x14ac:dyDescent="0.3">
      <c r="A144" s="3" t="str">
        <f t="shared" si="4"/>
        <v>ADDResearch InfrastructureResearch Infrastructure Stewardship OffsetTotal</v>
      </c>
      <c r="B144" s="6" t="s">
        <v>81</v>
      </c>
      <c r="C144" s="6" t="s">
        <v>179</v>
      </c>
      <c r="D144" s="6" t="s">
        <v>218</v>
      </c>
      <c r="E144" s="6" t="s">
        <v>24</v>
      </c>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8">
        <v>-1.94</v>
      </c>
      <c r="BG144" s="8">
        <v>-1.94</v>
      </c>
      <c r="BH144" s="6"/>
      <c r="BI144" s="6"/>
      <c r="BJ144" s="6"/>
      <c r="BK144" s="6"/>
      <c r="BL144" s="8">
        <v>-1.94</v>
      </c>
      <c r="BM144" s="6"/>
      <c r="BN144" s="6"/>
      <c r="BO144" s="6"/>
      <c r="BP144" s="6"/>
      <c r="BQ144" s="6"/>
      <c r="BR144" s="6"/>
      <c r="BS144" s="6"/>
      <c r="BT144" s="6"/>
      <c r="BU144" s="6"/>
      <c r="BV144" s="6"/>
      <c r="BW144" s="6"/>
      <c r="BX144" s="6"/>
      <c r="BY144" s="6"/>
      <c r="BZ144" s="6"/>
      <c r="CA144" s="6"/>
      <c r="CB144" s="6"/>
      <c r="CC144" s="6"/>
      <c r="CD144" s="6"/>
      <c r="CE144" s="6"/>
      <c r="CF144" s="6"/>
      <c r="CG144" s="9">
        <v>-1.94</v>
      </c>
    </row>
    <row r="145" spans="1:85" x14ac:dyDescent="0.3">
      <c r="A145" s="3" t="str">
        <f t="shared" si="4"/>
        <v>ADDResearch InfrastructureResearch ResourcesTotal</v>
      </c>
      <c r="B145" s="6" t="s">
        <v>81</v>
      </c>
      <c r="C145" s="6" t="s">
        <v>179</v>
      </c>
      <c r="D145" s="6" t="s">
        <v>219</v>
      </c>
      <c r="E145" s="6" t="s">
        <v>24</v>
      </c>
      <c r="F145" s="8">
        <v>42.76</v>
      </c>
      <c r="G145" s="6"/>
      <c r="H145" s="6"/>
      <c r="I145" s="8">
        <v>11</v>
      </c>
      <c r="J145" s="6"/>
      <c r="K145" s="6"/>
      <c r="L145" s="8">
        <v>53.76</v>
      </c>
      <c r="M145" s="8">
        <v>1</v>
      </c>
      <c r="N145" s="8">
        <v>23</v>
      </c>
      <c r="O145" s="8">
        <v>2</v>
      </c>
      <c r="P145" s="8">
        <v>11.24</v>
      </c>
      <c r="Q145" s="6"/>
      <c r="R145" s="6"/>
      <c r="S145" s="8">
        <v>37.24</v>
      </c>
      <c r="T145" s="6"/>
      <c r="U145" s="6"/>
      <c r="V145" s="6"/>
      <c r="W145" s="6"/>
      <c r="X145" s="6"/>
      <c r="Y145" s="6"/>
      <c r="Z145" s="6"/>
      <c r="AA145" s="6"/>
      <c r="AB145" s="8">
        <v>33.24</v>
      </c>
      <c r="AC145" s="8">
        <v>26.52</v>
      </c>
      <c r="AD145" s="8">
        <v>10.3</v>
      </c>
      <c r="AE145" s="8">
        <v>5.29</v>
      </c>
      <c r="AF145" s="6"/>
      <c r="AG145" s="6"/>
      <c r="AH145" s="8">
        <v>75.349999999999994</v>
      </c>
      <c r="AI145" s="8">
        <v>7</v>
      </c>
      <c r="AJ145" s="8">
        <v>5.65</v>
      </c>
      <c r="AK145" s="8">
        <v>1.45</v>
      </c>
      <c r="AL145" s="6"/>
      <c r="AM145" s="8">
        <v>0</v>
      </c>
      <c r="AN145" s="8">
        <v>1</v>
      </c>
      <c r="AO145" s="6"/>
      <c r="AP145" s="8">
        <v>15.1</v>
      </c>
      <c r="AQ145" s="8">
        <v>4.5</v>
      </c>
      <c r="AR145" s="6"/>
      <c r="AS145" s="8">
        <v>0</v>
      </c>
      <c r="AT145" s="8">
        <v>5.09</v>
      </c>
      <c r="AU145" s="6"/>
      <c r="AV145" s="8">
        <v>9.59</v>
      </c>
      <c r="AW145" s="6"/>
      <c r="AX145" s="6"/>
      <c r="AY145" s="6"/>
      <c r="AZ145" s="6"/>
      <c r="BA145" s="6"/>
      <c r="BB145" s="6"/>
      <c r="BC145" s="6"/>
      <c r="BD145" s="6"/>
      <c r="BE145" s="6"/>
      <c r="BF145" s="6"/>
      <c r="BG145" s="6"/>
      <c r="BH145" s="6"/>
      <c r="BI145" s="6"/>
      <c r="BJ145" s="6"/>
      <c r="BK145" s="6"/>
      <c r="BL145" s="8">
        <v>191.04</v>
      </c>
      <c r="BM145" s="6"/>
      <c r="BN145" s="6"/>
      <c r="BO145" s="6"/>
      <c r="BP145" s="6"/>
      <c r="BQ145" s="6"/>
      <c r="BR145" s="6"/>
      <c r="BS145" s="6"/>
      <c r="BT145" s="6"/>
      <c r="BU145" s="6"/>
      <c r="BV145" s="6"/>
      <c r="BW145" s="6"/>
      <c r="BX145" s="6"/>
      <c r="BY145" s="6"/>
      <c r="BZ145" s="6"/>
      <c r="CA145" s="6"/>
      <c r="CB145" s="6"/>
      <c r="CC145" s="6"/>
      <c r="CD145" s="6"/>
      <c r="CE145" s="6"/>
      <c r="CF145" s="6"/>
      <c r="CG145" s="9">
        <v>191.04</v>
      </c>
    </row>
    <row r="146" spans="1:85" x14ac:dyDescent="0.3">
      <c r="A146" s="3" t="str">
        <f t="shared" si="4"/>
        <v>ADDResearch InfrastructureScience &amp; Technology Policy Institute (STPI)Total</v>
      </c>
      <c r="B146" s="6" t="s">
        <v>81</v>
      </c>
      <c r="C146" s="6" t="s">
        <v>179</v>
      </c>
      <c r="D146" s="6" t="s">
        <v>220</v>
      </c>
      <c r="E146" s="6" t="s">
        <v>24</v>
      </c>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8">
        <v>5.68</v>
      </c>
      <c r="BG146" s="8">
        <v>5.68</v>
      </c>
      <c r="BH146" s="6"/>
      <c r="BI146" s="6"/>
      <c r="BJ146" s="6"/>
      <c r="BK146" s="6"/>
      <c r="BL146" s="8">
        <v>5.68</v>
      </c>
      <c r="BM146" s="6"/>
      <c r="BN146" s="6"/>
      <c r="BO146" s="6"/>
      <c r="BP146" s="6"/>
      <c r="BQ146" s="6"/>
      <c r="BR146" s="6"/>
      <c r="BS146" s="6"/>
      <c r="BT146" s="6"/>
      <c r="BU146" s="6"/>
      <c r="BV146" s="6"/>
      <c r="BW146" s="6"/>
      <c r="BX146" s="6"/>
      <c r="BY146" s="6"/>
      <c r="BZ146" s="6"/>
      <c r="CA146" s="6"/>
      <c r="CB146" s="6"/>
      <c r="CC146" s="6"/>
      <c r="CD146" s="6"/>
      <c r="CE146" s="6"/>
      <c r="CF146" s="6"/>
      <c r="CG146" s="9">
        <v>5.68</v>
      </c>
    </row>
    <row r="147" spans="1:85" x14ac:dyDescent="0.3">
      <c r="A147" s="3" t="str">
        <f t="shared" si="4"/>
        <v>ADDResearch InfrastructureSeismological Facility for the Advancement of GEoscience (SAGE)Total</v>
      </c>
      <c r="B147" s="6" t="s">
        <v>81</v>
      </c>
      <c r="C147" s="6" t="s">
        <v>179</v>
      </c>
      <c r="D147" s="6" t="s">
        <v>221</v>
      </c>
      <c r="E147" s="6" t="s">
        <v>24</v>
      </c>
      <c r="F147" s="6"/>
      <c r="G147" s="6"/>
      <c r="H147" s="6"/>
      <c r="I147" s="6"/>
      <c r="J147" s="6"/>
      <c r="K147" s="6"/>
      <c r="L147" s="6"/>
      <c r="M147" s="6"/>
      <c r="N147" s="6"/>
      <c r="O147" s="6"/>
      <c r="P147" s="6"/>
      <c r="Q147" s="6"/>
      <c r="R147" s="6"/>
      <c r="S147" s="6"/>
      <c r="T147" s="6"/>
      <c r="U147" s="6"/>
      <c r="V147" s="6"/>
      <c r="W147" s="6"/>
      <c r="X147" s="6"/>
      <c r="Y147" s="6"/>
      <c r="Z147" s="6"/>
      <c r="AA147" s="6"/>
      <c r="AB147" s="6"/>
      <c r="AC147" s="8">
        <v>22.5</v>
      </c>
      <c r="AD147" s="6"/>
      <c r="AE147" s="8">
        <v>0.87</v>
      </c>
      <c r="AF147" s="6"/>
      <c r="AG147" s="6"/>
      <c r="AH147" s="8">
        <v>23.37</v>
      </c>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8">
        <v>23.37</v>
      </c>
      <c r="BM147" s="6"/>
      <c r="BN147" s="6"/>
      <c r="BO147" s="6"/>
      <c r="BP147" s="6"/>
      <c r="BQ147" s="6"/>
      <c r="BR147" s="6"/>
      <c r="BS147" s="6"/>
      <c r="BT147" s="6"/>
      <c r="BU147" s="6"/>
      <c r="BV147" s="6"/>
      <c r="BW147" s="6"/>
      <c r="BX147" s="6"/>
      <c r="BY147" s="6"/>
      <c r="BZ147" s="6"/>
      <c r="CA147" s="6"/>
      <c r="CB147" s="6"/>
      <c r="CC147" s="6"/>
      <c r="CD147" s="6"/>
      <c r="CE147" s="6"/>
      <c r="CF147" s="6"/>
      <c r="CG147" s="9">
        <v>23.37</v>
      </c>
    </row>
    <row r="148" spans="1:85" x14ac:dyDescent="0.3">
      <c r="A148" s="3" t="str">
        <f t="shared" si="4"/>
        <v>ADDResearch InfrastructureVera C. Rubin ObservatoryTotal</v>
      </c>
      <c r="B148" s="6" t="s">
        <v>81</v>
      </c>
      <c r="C148" s="6" t="s">
        <v>179</v>
      </c>
      <c r="D148" s="6" t="s">
        <v>222</v>
      </c>
      <c r="E148" s="6" t="s">
        <v>24</v>
      </c>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8">
        <v>10</v>
      </c>
      <c r="AJ148" s="6"/>
      <c r="AK148" s="6"/>
      <c r="AL148" s="6"/>
      <c r="AM148" s="8">
        <v>10.3</v>
      </c>
      <c r="AN148" s="6"/>
      <c r="AO148" s="6"/>
      <c r="AP148" s="8">
        <v>20.3</v>
      </c>
      <c r="AQ148" s="6"/>
      <c r="AR148" s="6"/>
      <c r="AS148" s="6"/>
      <c r="AT148" s="6"/>
      <c r="AU148" s="6"/>
      <c r="AV148" s="6"/>
      <c r="AW148" s="6"/>
      <c r="AX148" s="6"/>
      <c r="AY148" s="6"/>
      <c r="AZ148" s="6"/>
      <c r="BA148" s="6"/>
      <c r="BB148" s="6"/>
      <c r="BC148" s="6"/>
      <c r="BD148" s="6"/>
      <c r="BE148" s="6"/>
      <c r="BF148" s="6"/>
      <c r="BG148" s="6"/>
      <c r="BH148" s="6"/>
      <c r="BI148" s="6"/>
      <c r="BJ148" s="6"/>
      <c r="BK148" s="6"/>
      <c r="BL148" s="8">
        <v>20.3</v>
      </c>
      <c r="BM148" s="6"/>
      <c r="BN148" s="6"/>
      <c r="BO148" s="6"/>
      <c r="BP148" s="6"/>
      <c r="BQ148" s="6"/>
      <c r="BR148" s="6"/>
      <c r="BS148" s="6"/>
      <c r="BT148" s="8">
        <v>15</v>
      </c>
      <c r="BU148" s="8">
        <v>15</v>
      </c>
      <c r="BV148" s="8">
        <v>15</v>
      </c>
      <c r="BW148" s="6"/>
      <c r="BX148" s="6"/>
      <c r="BY148" s="6"/>
      <c r="BZ148" s="6"/>
      <c r="CA148" s="6"/>
      <c r="CB148" s="6"/>
      <c r="CC148" s="6"/>
      <c r="CD148" s="6"/>
      <c r="CE148" s="6"/>
      <c r="CF148" s="6"/>
      <c r="CG148" s="9">
        <v>35.299999999999997</v>
      </c>
    </row>
    <row r="149" spans="1:85" x14ac:dyDescent="0.3">
      <c r="A149" s="3" t="str">
        <f t="shared" si="4"/>
        <v>NON ADDTotalTotalTotal</v>
      </c>
      <c r="B149" s="6" t="s">
        <v>223</v>
      </c>
      <c r="C149" s="6" t="s">
        <v>24</v>
      </c>
      <c r="D149" s="6" t="s">
        <v>24</v>
      </c>
      <c r="E149" s="6" t="s">
        <v>24</v>
      </c>
      <c r="F149" s="8">
        <v>0</v>
      </c>
      <c r="G149" s="8">
        <v>0</v>
      </c>
      <c r="H149" s="6"/>
      <c r="I149" s="8">
        <v>0</v>
      </c>
      <c r="J149" s="8">
        <v>0</v>
      </c>
      <c r="K149" s="8">
        <v>887.99</v>
      </c>
      <c r="L149" s="8">
        <v>887.99</v>
      </c>
      <c r="M149" s="6"/>
      <c r="N149" s="6"/>
      <c r="O149" s="6"/>
      <c r="P149" s="6"/>
      <c r="Q149" s="8">
        <v>0</v>
      </c>
      <c r="R149" s="8">
        <v>2384.5</v>
      </c>
      <c r="S149" s="8">
        <v>2384.5</v>
      </c>
      <c r="T149" s="8">
        <v>45.7</v>
      </c>
      <c r="U149" s="8">
        <v>33.700000000000003</v>
      </c>
      <c r="V149" s="8">
        <v>18.649999999999999</v>
      </c>
      <c r="W149" s="6"/>
      <c r="X149" s="8">
        <v>0</v>
      </c>
      <c r="Y149" s="6"/>
      <c r="Z149" s="8">
        <v>1524.01</v>
      </c>
      <c r="AA149" s="8">
        <v>1622.06</v>
      </c>
      <c r="AB149" s="8">
        <v>10.85</v>
      </c>
      <c r="AC149" s="8">
        <v>26.11</v>
      </c>
      <c r="AD149" s="8">
        <v>10.199999999999999</v>
      </c>
      <c r="AE149" s="8">
        <v>82.83</v>
      </c>
      <c r="AF149" s="8">
        <v>33.67</v>
      </c>
      <c r="AG149" s="8">
        <v>758.6</v>
      </c>
      <c r="AH149" s="8">
        <v>922.26</v>
      </c>
      <c r="AI149" s="8">
        <v>20.2</v>
      </c>
      <c r="AJ149" s="8">
        <v>388.51</v>
      </c>
      <c r="AK149" s="8">
        <v>360.07</v>
      </c>
      <c r="AL149" s="8">
        <v>85.73</v>
      </c>
      <c r="AM149" s="8">
        <v>176.18</v>
      </c>
      <c r="AN149" s="8">
        <v>131.02000000000001</v>
      </c>
      <c r="AO149" s="8">
        <v>206.13</v>
      </c>
      <c r="AP149" s="8">
        <v>1367.84</v>
      </c>
      <c r="AQ149" s="8">
        <v>0</v>
      </c>
      <c r="AR149" s="8">
        <v>0</v>
      </c>
      <c r="AS149" s="8">
        <v>0</v>
      </c>
      <c r="AT149" s="8">
        <v>0</v>
      </c>
      <c r="AU149" s="8">
        <v>147.29</v>
      </c>
      <c r="AV149" s="8">
        <v>147.29</v>
      </c>
      <c r="AW149" s="6"/>
      <c r="AX149" s="6"/>
      <c r="AY149" s="6"/>
      <c r="AZ149" s="6"/>
      <c r="BA149" s="8">
        <v>891.7</v>
      </c>
      <c r="BB149" s="8">
        <v>891.7</v>
      </c>
      <c r="BC149" s="8">
        <v>12.4</v>
      </c>
      <c r="BD149" s="8">
        <v>12.4</v>
      </c>
      <c r="BE149" s="8">
        <v>17.75</v>
      </c>
      <c r="BF149" s="8">
        <v>5.86</v>
      </c>
      <c r="BG149" s="8">
        <v>23.61</v>
      </c>
      <c r="BH149" s="6"/>
      <c r="BI149" s="6"/>
      <c r="BJ149" s="6"/>
      <c r="BK149" s="6"/>
      <c r="BL149" s="8">
        <v>8259.65</v>
      </c>
      <c r="BM149" s="8">
        <v>150</v>
      </c>
      <c r="BN149" s="8">
        <v>79.3</v>
      </c>
      <c r="BO149" s="8">
        <v>126.65</v>
      </c>
      <c r="BP149" s="8">
        <v>0</v>
      </c>
      <c r="BQ149" s="8">
        <v>97.8</v>
      </c>
      <c r="BR149" s="8">
        <v>453.75</v>
      </c>
      <c r="BS149" s="8">
        <v>453.75</v>
      </c>
      <c r="BT149" s="8">
        <v>33</v>
      </c>
      <c r="BU149" s="8">
        <v>33</v>
      </c>
      <c r="BV149" s="8">
        <v>33</v>
      </c>
      <c r="BW149" s="6"/>
      <c r="BX149" s="8">
        <v>4.26</v>
      </c>
      <c r="BY149" s="8">
        <v>4.26</v>
      </c>
      <c r="BZ149" s="8">
        <v>4.26</v>
      </c>
      <c r="CA149" s="6"/>
      <c r="CB149" s="6"/>
      <c r="CC149" s="6"/>
      <c r="CD149" s="6"/>
      <c r="CE149" s="6"/>
      <c r="CF149" s="6"/>
      <c r="CG149" s="9">
        <v>8750.66</v>
      </c>
    </row>
    <row r="150" spans="1:85" x14ac:dyDescent="0.3">
      <c r="A150" s="3" t="str">
        <f t="shared" si="4"/>
        <v>NON ADDCross-Foundation ActivitiesTotalTotal</v>
      </c>
      <c r="B150" s="6" t="s">
        <v>223</v>
      </c>
      <c r="C150" s="6" t="s">
        <v>224</v>
      </c>
      <c r="D150" s="6" t="s">
        <v>24</v>
      </c>
      <c r="E150" s="6" t="s">
        <v>24</v>
      </c>
      <c r="F150" s="6"/>
      <c r="G150" s="6"/>
      <c r="H150" s="6"/>
      <c r="I150" s="6"/>
      <c r="J150" s="6"/>
      <c r="K150" s="8">
        <v>286.85000000000002</v>
      </c>
      <c r="L150" s="8">
        <v>286.85000000000002</v>
      </c>
      <c r="M150" s="6"/>
      <c r="N150" s="6"/>
      <c r="O150" s="6"/>
      <c r="P150" s="6"/>
      <c r="Q150" s="6"/>
      <c r="R150" s="8">
        <v>827.97</v>
      </c>
      <c r="S150" s="8">
        <v>827.97</v>
      </c>
      <c r="T150" s="6"/>
      <c r="U150" s="6"/>
      <c r="V150" s="6"/>
      <c r="W150" s="6"/>
      <c r="X150" s="8">
        <v>0</v>
      </c>
      <c r="Y150" s="6"/>
      <c r="Z150" s="8">
        <v>756.58</v>
      </c>
      <c r="AA150" s="8">
        <v>756.58</v>
      </c>
      <c r="AB150" s="6"/>
      <c r="AC150" s="6"/>
      <c r="AD150" s="8">
        <v>4</v>
      </c>
      <c r="AE150" s="8">
        <v>8.85</v>
      </c>
      <c r="AF150" s="8">
        <v>0</v>
      </c>
      <c r="AG150" s="8">
        <v>73.599999999999994</v>
      </c>
      <c r="AH150" s="8">
        <v>86.45</v>
      </c>
      <c r="AI150" s="8">
        <v>8</v>
      </c>
      <c r="AJ150" s="8">
        <v>216.23</v>
      </c>
      <c r="AK150" s="8">
        <v>190.51</v>
      </c>
      <c r="AL150" s="8">
        <v>34.75</v>
      </c>
      <c r="AM150" s="8">
        <v>104.99</v>
      </c>
      <c r="AN150" s="8">
        <v>61.93</v>
      </c>
      <c r="AO150" s="8">
        <v>0</v>
      </c>
      <c r="AP150" s="8">
        <v>616.41</v>
      </c>
      <c r="AQ150" s="8">
        <v>0</v>
      </c>
      <c r="AR150" s="6"/>
      <c r="AS150" s="8">
        <v>0</v>
      </c>
      <c r="AT150" s="8">
        <v>0</v>
      </c>
      <c r="AU150" s="8">
        <v>61.01</v>
      </c>
      <c r="AV150" s="8">
        <v>61.01</v>
      </c>
      <c r="AW150" s="6"/>
      <c r="AX150" s="6"/>
      <c r="AY150" s="6"/>
      <c r="AZ150" s="6"/>
      <c r="BA150" s="8">
        <v>423.34</v>
      </c>
      <c r="BB150" s="8">
        <v>423.34</v>
      </c>
      <c r="BC150" s="8">
        <v>6</v>
      </c>
      <c r="BD150" s="8">
        <v>6</v>
      </c>
      <c r="BE150" s="8">
        <v>16.75</v>
      </c>
      <c r="BF150" s="8">
        <v>0</v>
      </c>
      <c r="BG150" s="8">
        <v>16.75</v>
      </c>
      <c r="BH150" s="6"/>
      <c r="BI150" s="6"/>
      <c r="BJ150" s="6"/>
      <c r="BK150" s="6"/>
      <c r="BL150" s="8">
        <v>3081.36</v>
      </c>
      <c r="BM150" s="8">
        <v>75</v>
      </c>
      <c r="BN150" s="8">
        <v>3</v>
      </c>
      <c r="BO150" s="8">
        <v>5</v>
      </c>
      <c r="BP150" s="6"/>
      <c r="BQ150" s="8">
        <v>75.5</v>
      </c>
      <c r="BR150" s="8">
        <v>158.5</v>
      </c>
      <c r="BS150" s="8">
        <v>158.5</v>
      </c>
      <c r="BT150" s="6"/>
      <c r="BU150" s="6"/>
      <c r="BV150" s="6"/>
      <c r="BW150" s="6"/>
      <c r="BX150" s="6"/>
      <c r="BY150" s="6"/>
      <c r="BZ150" s="6"/>
      <c r="CA150" s="6"/>
      <c r="CB150" s="6"/>
      <c r="CC150" s="6"/>
      <c r="CD150" s="6"/>
      <c r="CE150" s="6"/>
      <c r="CF150" s="6"/>
      <c r="CG150" s="9">
        <v>3239.86</v>
      </c>
    </row>
    <row r="151" spans="1:85" x14ac:dyDescent="0.3">
      <c r="A151" s="3" t="str">
        <f t="shared" si="4"/>
        <v>NON ADDCross-Foundation ActivitiesAdvanced Manufacturing (Total AdMan+FutMan)Total</v>
      </c>
      <c r="B151" s="6" t="s">
        <v>223</v>
      </c>
      <c r="C151" s="6" t="s">
        <v>224</v>
      </c>
      <c r="D151" s="6" t="s">
        <v>225</v>
      </c>
      <c r="E151" s="6" t="s">
        <v>24</v>
      </c>
      <c r="F151" s="6"/>
      <c r="G151" s="6"/>
      <c r="H151" s="6"/>
      <c r="I151" s="6"/>
      <c r="J151" s="6"/>
      <c r="K151" s="8">
        <v>17.16</v>
      </c>
      <c r="L151" s="8">
        <v>17.16</v>
      </c>
      <c r="M151" s="6"/>
      <c r="N151" s="6"/>
      <c r="O151" s="6"/>
      <c r="P151" s="6"/>
      <c r="Q151" s="6"/>
      <c r="R151" s="8">
        <v>42.22</v>
      </c>
      <c r="S151" s="8">
        <v>42.22</v>
      </c>
      <c r="T151" s="6"/>
      <c r="U151" s="6"/>
      <c r="V151" s="6"/>
      <c r="W151" s="6"/>
      <c r="X151" s="6"/>
      <c r="Y151" s="6"/>
      <c r="Z151" s="8">
        <v>174.37</v>
      </c>
      <c r="AA151" s="8">
        <v>174.37</v>
      </c>
      <c r="AB151" s="6"/>
      <c r="AC151" s="6"/>
      <c r="AD151" s="6"/>
      <c r="AE151" s="6"/>
      <c r="AF151" s="6"/>
      <c r="AG151" s="6"/>
      <c r="AH151" s="6"/>
      <c r="AI151" s="6"/>
      <c r="AJ151" s="8">
        <v>92</v>
      </c>
      <c r="AK151" s="8">
        <v>26.8</v>
      </c>
      <c r="AL151" s="8">
        <v>1</v>
      </c>
      <c r="AM151" s="8">
        <v>0</v>
      </c>
      <c r="AN151" s="8">
        <v>3.33</v>
      </c>
      <c r="AO151" s="8">
        <v>0</v>
      </c>
      <c r="AP151" s="8">
        <v>123.13</v>
      </c>
      <c r="AQ151" s="6"/>
      <c r="AR151" s="6"/>
      <c r="AS151" s="6"/>
      <c r="AT151" s="6"/>
      <c r="AU151" s="8">
        <v>3.5</v>
      </c>
      <c r="AV151" s="8">
        <v>3.5</v>
      </c>
      <c r="AW151" s="6"/>
      <c r="AX151" s="6"/>
      <c r="AY151" s="6"/>
      <c r="AZ151" s="6"/>
      <c r="BA151" s="8">
        <v>54.63</v>
      </c>
      <c r="BB151" s="8">
        <v>54.63</v>
      </c>
      <c r="BC151" s="8">
        <v>0.5</v>
      </c>
      <c r="BD151" s="8">
        <v>0.5</v>
      </c>
      <c r="BE151" s="8">
        <v>1</v>
      </c>
      <c r="BF151" s="6"/>
      <c r="BG151" s="8">
        <v>1</v>
      </c>
      <c r="BH151" s="6"/>
      <c r="BI151" s="6"/>
      <c r="BJ151" s="6"/>
      <c r="BK151" s="6"/>
      <c r="BL151" s="8">
        <v>416.51</v>
      </c>
      <c r="BM151" s="6"/>
      <c r="BN151" s="6"/>
      <c r="BO151" s="8">
        <v>5</v>
      </c>
      <c r="BP151" s="6"/>
      <c r="BQ151" s="6"/>
      <c r="BR151" s="8">
        <v>5</v>
      </c>
      <c r="BS151" s="8">
        <v>5</v>
      </c>
      <c r="BT151" s="6"/>
      <c r="BU151" s="6"/>
      <c r="BV151" s="6"/>
      <c r="BW151" s="6"/>
      <c r="BX151" s="6"/>
      <c r="BY151" s="6"/>
      <c r="BZ151" s="6"/>
      <c r="CA151" s="6"/>
      <c r="CB151" s="6"/>
      <c r="CC151" s="6"/>
      <c r="CD151" s="6"/>
      <c r="CE151" s="6"/>
      <c r="CF151" s="6"/>
      <c r="CG151" s="9">
        <v>421.51</v>
      </c>
    </row>
    <row r="152" spans="1:85" x14ac:dyDescent="0.3">
      <c r="A152" s="3" t="str">
        <f t="shared" si="4"/>
        <v>NON ADDCross-Foundation ActivitiesAdvanced Manufacturing (Total AdMan+FutMan)AdvMan - Core Investments</v>
      </c>
      <c r="B152" s="6" t="s">
        <v>223</v>
      </c>
      <c r="C152" s="6" t="s">
        <v>224</v>
      </c>
      <c r="D152" s="6" t="s">
        <v>225</v>
      </c>
      <c r="E152" s="6" t="s">
        <v>226</v>
      </c>
      <c r="F152" s="6"/>
      <c r="G152" s="6"/>
      <c r="H152" s="6"/>
      <c r="I152" s="6"/>
      <c r="J152" s="6"/>
      <c r="K152" s="8">
        <v>3.16</v>
      </c>
      <c r="L152" s="8">
        <v>3.16</v>
      </c>
      <c r="M152" s="6"/>
      <c r="N152" s="6"/>
      <c r="O152" s="6"/>
      <c r="P152" s="6"/>
      <c r="Q152" s="6"/>
      <c r="R152" s="8">
        <v>42.22</v>
      </c>
      <c r="S152" s="8">
        <v>42.22</v>
      </c>
      <c r="T152" s="6"/>
      <c r="U152" s="6"/>
      <c r="V152" s="6"/>
      <c r="W152" s="6"/>
      <c r="X152" s="6"/>
      <c r="Y152" s="6"/>
      <c r="Z152" s="8">
        <v>150.37</v>
      </c>
      <c r="AA152" s="8">
        <v>150.37</v>
      </c>
      <c r="AB152" s="6"/>
      <c r="AC152" s="6"/>
      <c r="AD152" s="6"/>
      <c r="AE152" s="6"/>
      <c r="AF152" s="6"/>
      <c r="AG152" s="6"/>
      <c r="AH152" s="6"/>
      <c r="AI152" s="6"/>
      <c r="AJ152" s="8">
        <v>90</v>
      </c>
      <c r="AK152" s="8">
        <v>24</v>
      </c>
      <c r="AL152" s="8">
        <v>0</v>
      </c>
      <c r="AM152" s="8">
        <v>0</v>
      </c>
      <c r="AN152" s="8">
        <v>3.33</v>
      </c>
      <c r="AO152" s="8">
        <v>0</v>
      </c>
      <c r="AP152" s="8">
        <v>117.33</v>
      </c>
      <c r="AQ152" s="6"/>
      <c r="AR152" s="6"/>
      <c r="AS152" s="6"/>
      <c r="AT152" s="6"/>
      <c r="AU152" s="8">
        <v>3</v>
      </c>
      <c r="AV152" s="8">
        <v>3</v>
      </c>
      <c r="AW152" s="6"/>
      <c r="AX152" s="6"/>
      <c r="AY152" s="6"/>
      <c r="AZ152" s="6"/>
      <c r="BA152" s="8">
        <v>54.63</v>
      </c>
      <c r="BB152" s="8">
        <v>54.63</v>
      </c>
      <c r="BC152" s="6"/>
      <c r="BD152" s="6"/>
      <c r="BE152" s="8">
        <v>0.5</v>
      </c>
      <c r="BF152" s="6"/>
      <c r="BG152" s="8">
        <v>0.5</v>
      </c>
      <c r="BH152" s="6"/>
      <c r="BI152" s="6"/>
      <c r="BJ152" s="6"/>
      <c r="BK152" s="6"/>
      <c r="BL152" s="8">
        <v>371.21</v>
      </c>
      <c r="BM152" s="6"/>
      <c r="BN152" s="6"/>
      <c r="BO152" s="8">
        <v>5</v>
      </c>
      <c r="BP152" s="6"/>
      <c r="BQ152" s="6"/>
      <c r="BR152" s="8">
        <v>5</v>
      </c>
      <c r="BS152" s="8">
        <v>5</v>
      </c>
      <c r="BT152" s="6"/>
      <c r="BU152" s="6"/>
      <c r="BV152" s="6"/>
      <c r="BW152" s="6"/>
      <c r="BX152" s="6"/>
      <c r="BY152" s="6"/>
      <c r="BZ152" s="6"/>
      <c r="CA152" s="6"/>
      <c r="CB152" s="6"/>
      <c r="CC152" s="6"/>
      <c r="CD152" s="6"/>
      <c r="CE152" s="6"/>
      <c r="CF152" s="6"/>
      <c r="CG152" s="9">
        <v>376.21</v>
      </c>
    </row>
    <row r="153" spans="1:85" x14ac:dyDescent="0.3">
      <c r="A153" s="3" t="str">
        <f t="shared" si="4"/>
        <v>NON ADDCross-Foundation ActivitiesAdvanced Manufacturing (Total AdMan+FutMan)AdvMan - Future Manufacturing</v>
      </c>
      <c r="B153" s="6" t="s">
        <v>223</v>
      </c>
      <c r="C153" s="6" t="s">
        <v>224</v>
      </c>
      <c r="D153" s="6" t="s">
        <v>225</v>
      </c>
      <c r="E153" s="6" t="s">
        <v>227</v>
      </c>
      <c r="F153" s="6"/>
      <c r="G153" s="6"/>
      <c r="H153" s="6"/>
      <c r="I153" s="6"/>
      <c r="J153" s="6"/>
      <c r="K153" s="8">
        <v>14</v>
      </c>
      <c r="L153" s="8">
        <v>14</v>
      </c>
      <c r="M153" s="6"/>
      <c r="N153" s="6"/>
      <c r="O153" s="6"/>
      <c r="P153" s="6"/>
      <c r="Q153" s="6"/>
      <c r="R153" s="6"/>
      <c r="S153" s="6"/>
      <c r="T153" s="6"/>
      <c r="U153" s="6"/>
      <c r="V153" s="6"/>
      <c r="W153" s="6"/>
      <c r="X153" s="6"/>
      <c r="Y153" s="6"/>
      <c r="Z153" s="8">
        <v>24</v>
      </c>
      <c r="AA153" s="8">
        <v>24</v>
      </c>
      <c r="AB153" s="6"/>
      <c r="AC153" s="6"/>
      <c r="AD153" s="6"/>
      <c r="AE153" s="6"/>
      <c r="AF153" s="6"/>
      <c r="AG153" s="6"/>
      <c r="AH153" s="6"/>
      <c r="AI153" s="6"/>
      <c r="AJ153" s="8">
        <v>2</v>
      </c>
      <c r="AK153" s="8">
        <v>2.8</v>
      </c>
      <c r="AL153" s="8">
        <v>1</v>
      </c>
      <c r="AM153" s="6"/>
      <c r="AN153" s="6"/>
      <c r="AO153" s="6"/>
      <c r="AP153" s="8">
        <v>5.8</v>
      </c>
      <c r="AQ153" s="6"/>
      <c r="AR153" s="6"/>
      <c r="AS153" s="6"/>
      <c r="AT153" s="6"/>
      <c r="AU153" s="8">
        <v>0.5</v>
      </c>
      <c r="AV153" s="8">
        <v>0.5</v>
      </c>
      <c r="AW153" s="6"/>
      <c r="AX153" s="6"/>
      <c r="AY153" s="6"/>
      <c r="AZ153" s="6"/>
      <c r="BA153" s="8">
        <v>0</v>
      </c>
      <c r="BB153" s="8">
        <v>0</v>
      </c>
      <c r="BC153" s="8">
        <v>0.5</v>
      </c>
      <c r="BD153" s="8">
        <v>0.5</v>
      </c>
      <c r="BE153" s="8">
        <v>0.5</v>
      </c>
      <c r="BF153" s="6"/>
      <c r="BG153" s="8">
        <v>0.5</v>
      </c>
      <c r="BH153" s="6"/>
      <c r="BI153" s="6"/>
      <c r="BJ153" s="6"/>
      <c r="BK153" s="6"/>
      <c r="BL153" s="8">
        <v>45.3</v>
      </c>
      <c r="BM153" s="6"/>
      <c r="BN153" s="6"/>
      <c r="BO153" s="8">
        <v>0</v>
      </c>
      <c r="BP153" s="6"/>
      <c r="BQ153" s="6"/>
      <c r="BR153" s="8">
        <v>0</v>
      </c>
      <c r="BS153" s="8">
        <v>0</v>
      </c>
      <c r="BT153" s="6"/>
      <c r="BU153" s="6"/>
      <c r="BV153" s="6"/>
      <c r="BW153" s="6"/>
      <c r="BX153" s="6"/>
      <c r="BY153" s="6"/>
      <c r="BZ153" s="6"/>
      <c r="CA153" s="6"/>
      <c r="CB153" s="6"/>
      <c r="CC153" s="6"/>
      <c r="CD153" s="6"/>
      <c r="CE153" s="6"/>
      <c r="CF153" s="6"/>
      <c r="CG153" s="9">
        <v>45.3</v>
      </c>
    </row>
    <row r="154" spans="1:85" x14ac:dyDescent="0.3">
      <c r="A154" s="3" t="str">
        <f t="shared" si="4"/>
        <v>NON ADDCross-Foundation ActivitiesAdvanced WirelessTotal</v>
      </c>
      <c r="B154" s="6" t="s">
        <v>223</v>
      </c>
      <c r="C154" s="6" t="s">
        <v>224</v>
      </c>
      <c r="D154" s="6" t="s">
        <v>228</v>
      </c>
      <c r="E154" s="6" t="s">
        <v>24</v>
      </c>
      <c r="F154" s="6"/>
      <c r="G154" s="6"/>
      <c r="H154" s="6"/>
      <c r="I154" s="6"/>
      <c r="J154" s="6"/>
      <c r="K154" s="6"/>
      <c r="L154" s="6"/>
      <c r="M154" s="6"/>
      <c r="N154" s="6"/>
      <c r="O154" s="6"/>
      <c r="P154" s="6"/>
      <c r="Q154" s="6"/>
      <c r="R154" s="8">
        <v>93.26</v>
      </c>
      <c r="S154" s="8">
        <v>93.26</v>
      </c>
      <c r="T154" s="6"/>
      <c r="U154" s="6"/>
      <c r="V154" s="6"/>
      <c r="W154" s="6"/>
      <c r="X154" s="6"/>
      <c r="Y154" s="6"/>
      <c r="Z154" s="8">
        <v>27.75</v>
      </c>
      <c r="AA154" s="8">
        <v>27.75</v>
      </c>
      <c r="AB154" s="6"/>
      <c r="AC154" s="6"/>
      <c r="AD154" s="6"/>
      <c r="AE154" s="6"/>
      <c r="AF154" s="6"/>
      <c r="AG154" s="6"/>
      <c r="AH154" s="6"/>
      <c r="AI154" s="6"/>
      <c r="AJ154" s="6"/>
      <c r="AK154" s="6"/>
      <c r="AL154" s="6"/>
      <c r="AM154" s="8">
        <v>17</v>
      </c>
      <c r="AN154" s="6"/>
      <c r="AO154" s="6"/>
      <c r="AP154" s="8">
        <v>17</v>
      </c>
      <c r="AQ154" s="6"/>
      <c r="AR154" s="6"/>
      <c r="AS154" s="6"/>
      <c r="AT154" s="6"/>
      <c r="AU154" s="6"/>
      <c r="AV154" s="6"/>
      <c r="AW154" s="6"/>
      <c r="AX154" s="6"/>
      <c r="AY154" s="6"/>
      <c r="AZ154" s="6"/>
      <c r="BA154" s="8">
        <v>30.55</v>
      </c>
      <c r="BB154" s="8">
        <v>30.55</v>
      </c>
      <c r="BC154" s="6"/>
      <c r="BD154" s="6"/>
      <c r="BE154" s="6"/>
      <c r="BF154" s="6"/>
      <c r="BG154" s="6"/>
      <c r="BH154" s="6"/>
      <c r="BI154" s="6"/>
      <c r="BJ154" s="6"/>
      <c r="BK154" s="6"/>
      <c r="BL154" s="8">
        <v>168.56</v>
      </c>
      <c r="BM154" s="6"/>
      <c r="BN154" s="6"/>
      <c r="BO154" s="6"/>
      <c r="BP154" s="6"/>
      <c r="BQ154" s="6"/>
      <c r="BR154" s="6"/>
      <c r="BS154" s="6"/>
      <c r="BT154" s="6"/>
      <c r="BU154" s="6"/>
      <c r="BV154" s="6"/>
      <c r="BW154" s="6"/>
      <c r="BX154" s="6"/>
      <c r="BY154" s="6"/>
      <c r="BZ154" s="6"/>
      <c r="CA154" s="6"/>
      <c r="CB154" s="6"/>
      <c r="CC154" s="6"/>
      <c r="CD154" s="6"/>
      <c r="CE154" s="6"/>
      <c r="CF154" s="6"/>
      <c r="CG154" s="9">
        <v>168.56</v>
      </c>
    </row>
    <row r="155" spans="1:85" x14ac:dyDescent="0.3">
      <c r="A155" s="3" t="str">
        <f t="shared" si="4"/>
        <v>NON ADDCross-Foundation ActivitiesArtificial Intelligence (AI)Total</v>
      </c>
      <c r="B155" s="6" t="s">
        <v>223</v>
      </c>
      <c r="C155" s="6" t="s">
        <v>224</v>
      </c>
      <c r="D155" s="6" t="s">
        <v>229</v>
      </c>
      <c r="E155" s="6" t="s">
        <v>24</v>
      </c>
      <c r="F155" s="6"/>
      <c r="G155" s="6"/>
      <c r="H155" s="6"/>
      <c r="I155" s="6"/>
      <c r="J155" s="6"/>
      <c r="K155" s="8">
        <v>20</v>
      </c>
      <c r="L155" s="8">
        <v>20</v>
      </c>
      <c r="M155" s="6"/>
      <c r="N155" s="6"/>
      <c r="O155" s="6"/>
      <c r="P155" s="6"/>
      <c r="Q155" s="6"/>
      <c r="R155" s="8">
        <v>369.8</v>
      </c>
      <c r="S155" s="8">
        <v>369.8</v>
      </c>
      <c r="T155" s="6"/>
      <c r="U155" s="6"/>
      <c r="V155" s="6"/>
      <c r="W155" s="6"/>
      <c r="X155" s="6"/>
      <c r="Y155" s="6"/>
      <c r="Z155" s="8">
        <v>95.8</v>
      </c>
      <c r="AA155" s="8">
        <v>95.8</v>
      </c>
      <c r="AB155" s="6"/>
      <c r="AC155" s="6"/>
      <c r="AD155" s="6"/>
      <c r="AE155" s="6"/>
      <c r="AF155" s="6"/>
      <c r="AG155" s="8">
        <v>5</v>
      </c>
      <c r="AH155" s="8">
        <v>5</v>
      </c>
      <c r="AI155" s="8">
        <v>1</v>
      </c>
      <c r="AJ155" s="8">
        <v>10</v>
      </c>
      <c r="AK155" s="8">
        <v>17.77</v>
      </c>
      <c r="AL155" s="8">
        <v>18</v>
      </c>
      <c r="AM155" s="8">
        <v>4.1900000000000004</v>
      </c>
      <c r="AN155" s="8">
        <v>20.71</v>
      </c>
      <c r="AO155" s="6"/>
      <c r="AP155" s="8">
        <v>71.67</v>
      </c>
      <c r="AQ155" s="6"/>
      <c r="AR155" s="6"/>
      <c r="AS155" s="6"/>
      <c r="AT155" s="6"/>
      <c r="AU155" s="8">
        <v>19.59</v>
      </c>
      <c r="AV155" s="8">
        <v>19.59</v>
      </c>
      <c r="AW155" s="6"/>
      <c r="AX155" s="6"/>
      <c r="AY155" s="6"/>
      <c r="AZ155" s="6"/>
      <c r="BA155" s="8">
        <v>101.55</v>
      </c>
      <c r="BB155" s="8">
        <v>101.55</v>
      </c>
      <c r="BC155" s="6"/>
      <c r="BD155" s="6"/>
      <c r="BE155" s="8">
        <v>1</v>
      </c>
      <c r="BF155" s="6"/>
      <c r="BG155" s="8">
        <v>1</v>
      </c>
      <c r="BH155" s="6"/>
      <c r="BI155" s="6"/>
      <c r="BJ155" s="6"/>
      <c r="BK155" s="6"/>
      <c r="BL155" s="8">
        <v>684.41</v>
      </c>
      <c r="BM155" s="6"/>
      <c r="BN155" s="6"/>
      <c r="BO155" s="6"/>
      <c r="BP155" s="6"/>
      <c r="BQ155" s="8">
        <v>50</v>
      </c>
      <c r="BR155" s="8">
        <v>50</v>
      </c>
      <c r="BS155" s="8">
        <v>50</v>
      </c>
      <c r="BT155" s="6"/>
      <c r="BU155" s="6"/>
      <c r="BV155" s="6"/>
      <c r="BW155" s="6"/>
      <c r="BX155" s="6"/>
      <c r="BY155" s="6"/>
      <c r="BZ155" s="6"/>
      <c r="CA155" s="6"/>
      <c r="CB155" s="6"/>
      <c r="CC155" s="6"/>
      <c r="CD155" s="6"/>
      <c r="CE155" s="6"/>
      <c r="CF155" s="6"/>
      <c r="CG155" s="9">
        <v>734.41</v>
      </c>
    </row>
    <row r="156" spans="1:85" x14ac:dyDescent="0.3">
      <c r="A156" s="3" t="str">
        <f t="shared" si="4"/>
        <v>NON ADDCross-Foundation ActivitiesBiotechnologyTotal</v>
      </c>
      <c r="B156" s="6" t="s">
        <v>223</v>
      </c>
      <c r="C156" s="6" t="s">
        <v>224</v>
      </c>
      <c r="D156" s="6" t="s">
        <v>231</v>
      </c>
      <c r="E156" s="6" t="s">
        <v>24</v>
      </c>
      <c r="F156" s="6"/>
      <c r="G156" s="6"/>
      <c r="H156" s="6"/>
      <c r="I156" s="6"/>
      <c r="J156" s="6"/>
      <c r="K156" s="8">
        <v>130</v>
      </c>
      <c r="L156" s="8">
        <v>130</v>
      </c>
      <c r="M156" s="6"/>
      <c r="N156" s="6"/>
      <c r="O156" s="6"/>
      <c r="P156" s="6"/>
      <c r="Q156" s="6"/>
      <c r="R156" s="8">
        <v>6</v>
      </c>
      <c r="S156" s="8">
        <v>6</v>
      </c>
      <c r="T156" s="6"/>
      <c r="U156" s="6"/>
      <c r="V156" s="6"/>
      <c r="W156" s="6"/>
      <c r="X156" s="6"/>
      <c r="Y156" s="6"/>
      <c r="Z156" s="8">
        <v>101.5</v>
      </c>
      <c r="AA156" s="8">
        <v>101.5</v>
      </c>
      <c r="AB156" s="6"/>
      <c r="AC156" s="6"/>
      <c r="AD156" s="6"/>
      <c r="AE156" s="8">
        <v>2</v>
      </c>
      <c r="AF156" s="6"/>
      <c r="AG156" s="8">
        <v>10</v>
      </c>
      <c r="AH156" s="8">
        <v>12</v>
      </c>
      <c r="AI156" s="6"/>
      <c r="AJ156" s="8">
        <v>30</v>
      </c>
      <c r="AK156" s="8">
        <v>25</v>
      </c>
      <c r="AL156" s="6"/>
      <c r="AM156" s="6"/>
      <c r="AN156" s="8">
        <v>7.2</v>
      </c>
      <c r="AO156" s="6"/>
      <c r="AP156" s="8">
        <v>62.2</v>
      </c>
      <c r="AQ156" s="6"/>
      <c r="AR156" s="6"/>
      <c r="AS156" s="6"/>
      <c r="AT156" s="6"/>
      <c r="AU156" s="8">
        <v>1.5</v>
      </c>
      <c r="AV156" s="8">
        <v>1.5</v>
      </c>
      <c r="AW156" s="6"/>
      <c r="AX156" s="6"/>
      <c r="AY156" s="6"/>
      <c r="AZ156" s="6"/>
      <c r="BA156" s="8">
        <v>69.06</v>
      </c>
      <c r="BB156" s="8">
        <v>69.06</v>
      </c>
      <c r="BC156" s="6"/>
      <c r="BD156" s="6"/>
      <c r="BE156" s="8">
        <v>1</v>
      </c>
      <c r="BF156" s="6"/>
      <c r="BG156" s="8">
        <v>1</v>
      </c>
      <c r="BH156" s="6"/>
      <c r="BI156" s="6"/>
      <c r="BJ156" s="6"/>
      <c r="BK156" s="6"/>
      <c r="BL156" s="8">
        <v>383.26</v>
      </c>
      <c r="BM156" s="6"/>
      <c r="BN156" s="6"/>
      <c r="BO156" s="6"/>
      <c r="BP156" s="6"/>
      <c r="BQ156" s="8">
        <v>9</v>
      </c>
      <c r="BR156" s="8">
        <v>9</v>
      </c>
      <c r="BS156" s="8">
        <v>9</v>
      </c>
      <c r="BT156" s="6"/>
      <c r="BU156" s="6"/>
      <c r="BV156" s="6"/>
      <c r="BW156" s="6"/>
      <c r="BX156" s="6"/>
      <c r="BY156" s="6"/>
      <c r="BZ156" s="6"/>
      <c r="CA156" s="6"/>
      <c r="CB156" s="6"/>
      <c r="CC156" s="6"/>
      <c r="CD156" s="6"/>
      <c r="CE156" s="6"/>
      <c r="CF156" s="6"/>
      <c r="CG156" s="9">
        <v>392.26</v>
      </c>
    </row>
    <row r="157" spans="1:85" x14ac:dyDescent="0.3">
      <c r="A157" s="3" t="str">
        <f t="shared" si="4"/>
        <v>NON ADDCross-Foundation ActivitiesBrain Research through Advancing Innovative Neurotechnologies (BRAIN) InitiativeTotal</v>
      </c>
      <c r="B157" s="6" t="s">
        <v>223</v>
      </c>
      <c r="C157" s="6" t="s">
        <v>224</v>
      </c>
      <c r="D157" s="6" t="s">
        <v>232</v>
      </c>
      <c r="E157" s="6" t="s">
        <v>24</v>
      </c>
      <c r="F157" s="6"/>
      <c r="G157" s="6"/>
      <c r="H157" s="6"/>
      <c r="I157" s="6"/>
      <c r="J157" s="6"/>
      <c r="K157" s="8">
        <v>0</v>
      </c>
      <c r="L157" s="8">
        <v>0</v>
      </c>
      <c r="M157" s="6"/>
      <c r="N157" s="6"/>
      <c r="O157" s="6"/>
      <c r="P157" s="6"/>
      <c r="Q157" s="6"/>
      <c r="R157" s="8">
        <v>7.2</v>
      </c>
      <c r="S157" s="8">
        <v>7.2</v>
      </c>
      <c r="T157" s="6"/>
      <c r="U157" s="6"/>
      <c r="V157" s="6"/>
      <c r="W157" s="6"/>
      <c r="X157" s="6"/>
      <c r="Y157" s="6"/>
      <c r="Z157" s="8">
        <v>10.34</v>
      </c>
      <c r="AA157" s="8">
        <v>10.34</v>
      </c>
      <c r="AB157" s="6"/>
      <c r="AC157" s="6"/>
      <c r="AD157" s="6"/>
      <c r="AE157" s="6"/>
      <c r="AF157" s="6"/>
      <c r="AG157" s="6"/>
      <c r="AH157" s="6"/>
      <c r="AI157" s="6"/>
      <c r="AJ157" s="8">
        <v>2.5</v>
      </c>
      <c r="AK157" s="8">
        <v>3.8</v>
      </c>
      <c r="AL157" s="8">
        <v>3</v>
      </c>
      <c r="AM157" s="8">
        <v>0</v>
      </c>
      <c r="AN157" s="8">
        <v>2</v>
      </c>
      <c r="AO157" s="6"/>
      <c r="AP157" s="8">
        <v>11.3</v>
      </c>
      <c r="AQ157" s="8">
        <v>0</v>
      </c>
      <c r="AR157" s="6"/>
      <c r="AS157" s="8">
        <v>0</v>
      </c>
      <c r="AT157" s="6"/>
      <c r="AU157" s="8">
        <v>6.17</v>
      </c>
      <c r="AV157" s="8">
        <v>6.17</v>
      </c>
      <c r="AW157" s="6"/>
      <c r="AX157" s="6"/>
      <c r="AY157" s="6"/>
      <c r="AZ157" s="6"/>
      <c r="BA157" s="8">
        <v>10.6</v>
      </c>
      <c r="BB157" s="8">
        <v>10.6</v>
      </c>
      <c r="BC157" s="6"/>
      <c r="BD157" s="6"/>
      <c r="BE157" s="6"/>
      <c r="BF157" s="6"/>
      <c r="BG157" s="6"/>
      <c r="BH157" s="6"/>
      <c r="BI157" s="6"/>
      <c r="BJ157" s="6"/>
      <c r="BK157" s="6"/>
      <c r="BL157" s="8">
        <v>45.61</v>
      </c>
      <c r="BM157" s="8">
        <v>0</v>
      </c>
      <c r="BN157" s="8">
        <v>3</v>
      </c>
      <c r="BO157" s="6"/>
      <c r="BP157" s="6"/>
      <c r="BQ157" s="6"/>
      <c r="BR157" s="8">
        <v>3</v>
      </c>
      <c r="BS157" s="8">
        <v>3</v>
      </c>
      <c r="BT157" s="6"/>
      <c r="BU157" s="6"/>
      <c r="BV157" s="6"/>
      <c r="BW157" s="6"/>
      <c r="BX157" s="6"/>
      <c r="BY157" s="6"/>
      <c r="BZ157" s="6"/>
      <c r="CA157" s="6"/>
      <c r="CB157" s="6"/>
      <c r="CC157" s="6"/>
      <c r="CD157" s="6"/>
      <c r="CE157" s="6"/>
      <c r="CF157" s="6"/>
      <c r="CG157" s="9">
        <v>48.61</v>
      </c>
    </row>
    <row r="158" spans="1:85" x14ac:dyDescent="0.3">
      <c r="A158" s="3" t="str">
        <f t="shared" si="4"/>
        <v>NON ADDCross-Foundation ActivitiesClean Energy TechnologyTotal</v>
      </c>
      <c r="B158" s="6" t="s">
        <v>223</v>
      </c>
      <c r="C158" s="6" t="s">
        <v>224</v>
      </c>
      <c r="D158" s="6" t="s">
        <v>233</v>
      </c>
      <c r="E158" s="6" t="s">
        <v>24</v>
      </c>
      <c r="F158" s="6"/>
      <c r="G158" s="6"/>
      <c r="H158" s="6"/>
      <c r="I158" s="6"/>
      <c r="J158" s="6"/>
      <c r="K158" s="8">
        <v>59.28</v>
      </c>
      <c r="L158" s="8">
        <v>59.28</v>
      </c>
      <c r="M158" s="6"/>
      <c r="N158" s="6"/>
      <c r="O158" s="6"/>
      <c r="P158" s="6"/>
      <c r="Q158" s="6"/>
      <c r="R158" s="8">
        <v>31.12</v>
      </c>
      <c r="S158" s="8">
        <v>31.12</v>
      </c>
      <c r="T158" s="6"/>
      <c r="U158" s="6"/>
      <c r="V158" s="6"/>
      <c r="W158" s="6"/>
      <c r="X158" s="6"/>
      <c r="Y158" s="6"/>
      <c r="Z158" s="8">
        <v>223.57</v>
      </c>
      <c r="AA158" s="8">
        <v>223.57</v>
      </c>
      <c r="AB158" s="6"/>
      <c r="AC158" s="6"/>
      <c r="AD158" s="6"/>
      <c r="AE158" s="6"/>
      <c r="AF158" s="6"/>
      <c r="AG158" s="6"/>
      <c r="AH158" s="6"/>
      <c r="AI158" s="6"/>
      <c r="AJ158" s="8">
        <v>60.73</v>
      </c>
      <c r="AK158" s="8">
        <v>52.14</v>
      </c>
      <c r="AL158" s="8">
        <v>1</v>
      </c>
      <c r="AM158" s="8">
        <v>10</v>
      </c>
      <c r="AN158" s="8">
        <v>4.6900000000000004</v>
      </c>
      <c r="AO158" s="8">
        <v>0</v>
      </c>
      <c r="AP158" s="8">
        <v>128.56</v>
      </c>
      <c r="AQ158" s="6"/>
      <c r="AR158" s="6"/>
      <c r="AS158" s="6"/>
      <c r="AT158" s="6"/>
      <c r="AU158" s="6"/>
      <c r="AV158" s="6"/>
      <c r="AW158" s="6"/>
      <c r="AX158" s="6"/>
      <c r="AY158" s="6"/>
      <c r="AZ158" s="6"/>
      <c r="BA158" s="8">
        <v>52.47</v>
      </c>
      <c r="BB158" s="8">
        <v>52.47</v>
      </c>
      <c r="BC158" s="8">
        <v>5</v>
      </c>
      <c r="BD158" s="8">
        <v>5</v>
      </c>
      <c r="BE158" s="8">
        <v>0</v>
      </c>
      <c r="BF158" s="6"/>
      <c r="BG158" s="8">
        <v>0</v>
      </c>
      <c r="BH158" s="6"/>
      <c r="BI158" s="6"/>
      <c r="BJ158" s="6"/>
      <c r="BK158" s="6"/>
      <c r="BL158" s="8">
        <v>500</v>
      </c>
      <c r="BM158" s="6"/>
      <c r="BN158" s="6"/>
      <c r="BO158" s="6"/>
      <c r="BP158" s="6"/>
      <c r="BQ158" s="6"/>
      <c r="BR158" s="6"/>
      <c r="BS158" s="6"/>
      <c r="BT158" s="6"/>
      <c r="BU158" s="6"/>
      <c r="BV158" s="6"/>
      <c r="BW158" s="6"/>
      <c r="BX158" s="6"/>
      <c r="BY158" s="6"/>
      <c r="BZ158" s="6"/>
      <c r="CA158" s="6"/>
      <c r="CB158" s="6"/>
      <c r="CC158" s="6"/>
      <c r="CD158" s="6"/>
      <c r="CE158" s="6"/>
      <c r="CF158" s="6"/>
      <c r="CG158" s="9">
        <v>500</v>
      </c>
    </row>
    <row r="159" spans="1:85" x14ac:dyDescent="0.3">
      <c r="A159" s="3" t="str">
        <f t="shared" si="4"/>
        <v>NON ADDCross-Foundation ActivitiesCoastlines and People (CoPE)Total</v>
      </c>
      <c r="B159" s="6" t="s">
        <v>223</v>
      </c>
      <c r="C159" s="6" t="s">
        <v>224</v>
      </c>
      <c r="D159" s="6" t="s">
        <v>234</v>
      </c>
      <c r="E159" s="6" t="s">
        <v>24</v>
      </c>
      <c r="F159" s="6"/>
      <c r="G159" s="6"/>
      <c r="H159" s="6"/>
      <c r="I159" s="6"/>
      <c r="J159" s="6"/>
      <c r="K159" s="8">
        <v>1</v>
      </c>
      <c r="L159" s="8">
        <v>1</v>
      </c>
      <c r="M159" s="6"/>
      <c r="N159" s="6"/>
      <c r="O159" s="6"/>
      <c r="P159" s="6"/>
      <c r="Q159" s="6"/>
      <c r="R159" s="6"/>
      <c r="S159" s="6"/>
      <c r="T159" s="6"/>
      <c r="U159" s="6"/>
      <c r="V159" s="6"/>
      <c r="W159" s="6"/>
      <c r="X159" s="6"/>
      <c r="Y159" s="6"/>
      <c r="Z159" s="8">
        <v>1.5</v>
      </c>
      <c r="AA159" s="8">
        <v>1.5</v>
      </c>
      <c r="AB159" s="6"/>
      <c r="AC159" s="6"/>
      <c r="AD159" s="6"/>
      <c r="AE159" s="6"/>
      <c r="AF159" s="6"/>
      <c r="AG159" s="8">
        <v>23</v>
      </c>
      <c r="AH159" s="8">
        <v>23</v>
      </c>
      <c r="AI159" s="6"/>
      <c r="AJ159" s="6"/>
      <c r="AK159" s="6"/>
      <c r="AL159" s="6"/>
      <c r="AM159" s="6"/>
      <c r="AN159" s="6"/>
      <c r="AO159" s="6"/>
      <c r="AP159" s="6"/>
      <c r="AQ159" s="6"/>
      <c r="AR159" s="6"/>
      <c r="AS159" s="6"/>
      <c r="AT159" s="6"/>
      <c r="AU159" s="8">
        <v>2.5</v>
      </c>
      <c r="AV159" s="8">
        <v>2.5</v>
      </c>
      <c r="AW159" s="6"/>
      <c r="AX159" s="6"/>
      <c r="AY159" s="6"/>
      <c r="AZ159" s="6"/>
      <c r="BA159" s="6"/>
      <c r="BB159" s="6"/>
      <c r="BC159" s="6"/>
      <c r="BD159" s="6"/>
      <c r="BE159" s="6"/>
      <c r="BF159" s="6"/>
      <c r="BG159" s="6"/>
      <c r="BH159" s="6"/>
      <c r="BI159" s="6"/>
      <c r="BJ159" s="6"/>
      <c r="BK159" s="6"/>
      <c r="BL159" s="8">
        <v>28</v>
      </c>
      <c r="BM159" s="6"/>
      <c r="BN159" s="6"/>
      <c r="BO159" s="6"/>
      <c r="BP159" s="6"/>
      <c r="BQ159" s="6"/>
      <c r="BR159" s="6"/>
      <c r="BS159" s="6"/>
      <c r="BT159" s="6"/>
      <c r="BU159" s="6"/>
      <c r="BV159" s="6"/>
      <c r="BW159" s="6"/>
      <c r="BX159" s="6"/>
      <c r="BY159" s="6"/>
      <c r="BZ159" s="6"/>
      <c r="CA159" s="6"/>
      <c r="CB159" s="6"/>
      <c r="CC159" s="6"/>
      <c r="CD159" s="6"/>
      <c r="CE159" s="6"/>
      <c r="CF159" s="6"/>
      <c r="CG159" s="9">
        <v>28</v>
      </c>
    </row>
    <row r="160" spans="1:85" x14ac:dyDescent="0.3">
      <c r="A160" s="3" t="str">
        <f t="shared" si="4"/>
        <v>NON ADDCross-Foundation ActivitiesHarnessing the Data Revolution (HDR) - TotalTotal</v>
      </c>
      <c r="B160" s="6" t="s">
        <v>223</v>
      </c>
      <c r="C160" s="6" t="s">
        <v>224</v>
      </c>
      <c r="D160" s="6" t="s">
        <v>235</v>
      </c>
      <c r="E160" s="6" t="s">
        <v>24</v>
      </c>
      <c r="F160" s="6"/>
      <c r="G160" s="6"/>
      <c r="H160" s="6"/>
      <c r="I160" s="6"/>
      <c r="J160" s="6"/>
      <c r="K160" s="8">
        <v>7.41</v>
      </c>
      <c r="L160" s="8">
        <v>7.41</v>
      </c>
      <c r="M160" s="6"/>
      <c r="N160" s="6"/>
      <c r="O160" s="6"/>
      <c r="P160" s="6"/>
      <c r="Q160" s="6"/>
      <c r="R160" s="8">
        <v>89.6</v>
      </c>
      <c r="S160" s="8">
        <v>89.6</v>
      </c>
      <c r="T160" s="6"/>
      <c r="U160" s="6"/>
      <c r="V160" s="6"/>
      <c r="W160" s="6"/>
      <c r="X160" s="6"/>
      <c r="Y160" s="6"/>
      <c r="Z160" s="8">
        <v>13.5</v>
      </c>
      <c r="AA160" s="8">
        <v>13.5</v>
      </c>
      <c r="AB160" s="6"/>
      <c r="AC160" s="6"/>
      <c r="AD160" s="6"/>
      <c r="AE160" s="6"/>
      <c r="AF160" s="6"/>
      <c r="AG160" s="8">
        <v>5.6</v>
      </c>
      <c r="AH160" s="8">
        <v>5.6</v>
      </c>
      <c r="AI160" s="8">
        <v>2</v>
      </c>
      <c r="AJ160" s="8">
        <v>8</v>
      </c>
      <c r="AK160" s="8">
        <v>5</v>
      </c>
      <c r="AL160" s="8">
        <v>5</v>
      </c>
      <c r="AM160" s="8">
        <v>0</v>
      </c>
      <c r="AN160" s="8">
        <v>2</v>
      </c>
      <c r="AO160" s="8">
        <v>0</v>
      </c>
      <c r="AP160" s="8">
        <v>22</v>
      </c>
      <c r="AQ160" s="6"/>
      <c r="AR160" s="6"/>
      <c r="AS160" s="6"/>
      <c r="AT160" s="6"/>
      <c r="AU160" s="8">
        <v>7.25</v>
      </c>
      <c r="AV160" s="8">
        <v>7.25</v>
      </c>
      <c r="AW160" s="6"/>
      <c r="AX160" s="6"/>
      <c r="AY160" s="6"/>
      <c r="AZ160" s="6"/>
      <c r="BA160" s="8">
        <v>21.75</v>
      </c>
      <c r="BB160" s="8">
        <v>21.75</v>
      </c>
      <c r="BC160" s="6"/>
      <c r="BD160" s="6"/>
      <c r="BE160" s="8">
        <v>10</v>
      </c>
      <c r="BF160" s="8">
        <v>0</v>
      </c>
      <c r="BG160" s="8">
        <v>10</v>
      </c>
      <c r="BH160" s="6"/>
      <c r="BI160" s="6"/>
      <c r="BJ160" s="6"/>
      <c r="BK160" s="6"/>
      <c r="BL160" s="8">
        <v>177.11</v>
      </c>
      <c r="BM160" s="6"/>
      <c r="BN160" s="6"/>
      <c r="BO160" s="6"/>
      <c r="BP160" s="6"/>
      <c r="BQ160" s="8">
        <v>5</v>
      </c>
      <c r="BR160" s="8">
        <v>5</v>
      </c>
      <c r="BS160" s="8">
        <v>5</v>
      </c>
      <c r="BT160" s="6"/>
      <c r="BU160" s="6"/>
      <c r="BV160" s="6"/>
      <c r="BW160" s="6"/>
      <c r="BX160" s="6"/>
      <c r="BY160" s="6"/>
      <c r="BZ160" s="6"/>
      <c r="CA160" s="6"/>
      <c r="CB160" s="6"/>
      <c r="CC160" s="6"/>
      <c r="CD160" s="6"/>
      <c r="CE160" s="6"/>
      <c r="CF160" s="6"/>
      <c r="CG160" s="9">
        <v>182.11</v>
      </c>
    </row>
    <row r="161" spans="1:85" x14ac:dyDescent="0.3">
      <c r="A161" s="3" t="str">
        <f t="shared" si="4"/>
        <v>NON ADDCross-Foundation ActivitiesMaterials Genome Initiative (MGI)Total</v>
      </c>
      <c r="B161" s="6" t="s">
        <v>223</v>
      </c>
      <c r="C161" s="6" t="s">
        <v>224</v>
      </c>
      <c r="D161" s="6" t="s">
        <v>237</v>
      </c>
      <c r="E161" s="6" t="s">
        <v>24</v>
      </c>
      <c r="F161" s="6"/>
      <c r="G161" s="6"/>
      <c r="H161" s="6"/>
      <c r="I161" s="6"/>
      <c r="J161" s="6"/>
      <c r="K161" s="6"/>
      <c r="L161" s="6"/>
      <c r="M161" s="6"/>
      <c r="N161" s="6"/>
      <c r="O161" s="6"/>
      <c r="P161" s="6"/>
      <c r="Q161" s="6"/>
      <c r="R161" s="8">
        <v>0</v>
      </c>
      <c r="S161" s="8">
        <v>0</v>
      </c>
      <c r="T161" s="6"/>
      <c r="U161" s="6"/>
      <c r="V161" s="6"/>
      <c r="W161" s="6"/>
      <c r="X161" s="6"/>
      <c r="Y161" s="6"/>
      <c r="Z161" s="8">
        <v>2</v>
      </c>
      <c r="AA161" s="8">
        <v>2</v>
      </c>
      <c r="AB161" s="6"/>
      <c r="AC161" s="6"/>
      <c r="AD161" s="6"/>
      <c r="AE161" s="6"/>
      <c r="AF161" s="6"/>
      <c r="AG161" s="6"/>
      <c r="AH161" s="6"/>
      <c r="AI161" s="6"/>
      <c r="AJ161" s="8">
        <v>2</v>
      </c>
      <c r="AK161" s="8">
        <v>35</v>
      </c>
      <c r="AL161" s="8">
        <v>0</v>
      </c>
      <c r="AM161" s="8">
        <v>0</v>
      </c>
      <c r="AN161" s="6"/>
      <c r="AO161" s="6"/>
      <c r="AP161" s="8">
        <v>37</v>
      </c>
      <c r="AQ161" s="6"/>
      <c r="AR161" s="6"/>
      <c r="AS161" s="6"/>
      <c r="AT161" s="6"/>
      <c r="AU161" s="6"/>
      <c r="AV161" s="6"/>
      <c r="AW161" s="6"/>
      <c r="AX161" s="6"/>
      <c r="AY161" s="6"/>
      <c r="AZ161" s="6"/>
      <c r="BA161" s="6"/>
      <c r="BB161" s="6"/>
      <c r="BC161" s="6"/>
      <c r="BD161" s="6"/>
      <c r="BE161" s="6"/>
      <c r="BF161" s="6"/>
      <c r="BG161" s="6"/>
      <c r="BH161" s="6"/>
      <c r="BI161" s="6"/>
      <c r="BJ161" s="6"/>
      <c r="BK161" s="6"/>
      <c r="BL161" s="8">
        <v>39</v>
      </c>
      <c r="BM161" s="6"/>
      <c r="BN161" s="6"/>
      <c r="BO161" s="6"/>
      <c r="BP161" s="6"/>
      <c r="BQ161" s="6"/>
      <c r="BR161" s="6"/>
      <c r="BS161" s="6"/>
      <c r="BT161" s="6"/>
      <c r="BU161" s="6"/>
      <c r="BV161" s="6"/>
      <c r="BW161" s="6"/>
      <c r="BX161" s="6"/>
      <c r="BY161" s="6"/>
      <c r="BZ161" s="6"/>
      <c r="CA161" s="6"/>
      <c r="CB161" s="6"/>
      <c r="CC161" s="6"/>
      <c r="CD161" s="6"/>
      <c r="CE161" s="6"/>
      <c r="CF161" s="6"/>
      <c r="CG161" s="9">
        <v>39</v>
      </c>
    </row>
    <row r="162" spans="1:85" x14ac:dyDescent="0.3">
      <c r="A162" s="3" t="str">
        <f t="shared" si="4"/>
        <v>NON ADDCross-Foundation ActivitiesMicroelectronics and SemiconductorsTotal</v>
      </c>
      <c r="B162" s="6" t="s">
        <v>223</v>
      </c>
      <c r="C162" s="6" t="s">
        <v>224</v>
      </c>
      <c r="D162" s="6" t="s">
        <v>238</v>
      </c>
      <c r="E162" s="6" t="s">
        <v>24</v>
      </c>
      <c r="F162" s="6"/>
      <c r="G162" s="6"/>
      <c r="H162" s="6"/>
      <c r="I162" s="6"/>
      <c r="J162" s="6"/>
      <c r="K162" s="6"/>
      <c r="L162" s="6"/>
      <c r="M162" s="6"/>
      <c r="N162" s="6"/>
      <c r="O162" s="6"/>
      <c r="P162" s="6"/>
      <c r="Q162" s="6"/>
      <c r="R162" s="8">
        <v>23.46</v>
      </c>
      <c r="S162" s="8">
        <v>23.46</v>
      </c>
      <c r="T162" s="6"/>
      <c r="U162" s="6"/>
      <c r="V162" s="6"/>
      <c r="W162" s="6"/>
      <c r="X162" s="6"/>
      <c r="Y162" s="6"/>
      <c r="Z162" s="8">
        <v>46</v>
      </c>
      <c r="AA162" s="8">
        <v>46</v>
      </c>
      <c r="AB162" s="6"/>
      <c r="AC162" s="6"/>
      <c r="AD162" s="6"/>
      <c r="AE162" s="6"/>
      <c r="AF162" s="6"/>
      <c r="AG162" s="6"/>
      <c r="AH162" s="6"/>
      <c r="AI162" s="6"/>
      <c r="AJ162" s="8">
        <v>1</v>
      </c>
      <c r="AK162" s="8">
        <v>25</v>
      </c>
      <c r="AL162" s="6"/>
      <c r="AM162" s="8">
        <v>0</v>
      </c>
      <c r="AN162" s="6"/>
      <c r="AO162" s="6"/>
      <c r="AP162" s="8">
        <v>26</v>
      </c>
      <c r="AQ162" s="6"/>
      <c r="AR162" s="6"/>
      <c r="AS162" s="6"/>
      <c r="AT162" s="6"/>
      <c r="AU162" s="6"/>
      <c r="AV162" s="6"/>
      <c r="AW162" s="6"/>
      <c r="AX162" s="6"/>
      <c r="AY162" s="6"/>
      <c r="AZ162" s="6"/>
      <c r="BA162" s="8">
        <v>50.23</v>
      </c>
      <c r="BB162" s="8">
        <v>50.23</v>
      </c>
      <c r="BC162" s="6"/>
      <c r="BD162" s="6"/>
      <c r="BE162" s="6"/>
      <c r="BF162" s="6"/>
      <c r="BG162" s="6"/>
      <c r="BH162" s="6"/>
      <c r="BI162" s="6"/>
      <c r="BJ162" s="6"/>
      <c r="BK162" s="6"/>
      <c r="BL162" s="8">
        <v>145.69</v>
      </c>
      <c r="BM162" s="6"/>
      <c r="BN162" s="6"/>
      <c r="BO162" s="6"/>
      <c r="BP162" s="6"/>
      <c r="BQ162" s="6"/>
      <c r="BR162" s="6"/>
      <c r="BS162" s="6"/>
      <c r="BT162" s="6"/>
      <c r="BU162" s="6"/>
      <c r="BV162" s="6"/>
      <c r="BW162" s="6"/>
      <c r="BX162" s="6"/>
      <c r="BY162" s="6"/>
      <c r="BZ162" s="6"/>
      <c r="CA162" s="6"/>
      <c r="CB162" s="6"/>
      <c r="CC162" s="6"/>
      <c r="CD162" s="6"/>
      <c r="CE162" s="6"/>
      <c r="CF162" s="6"/>
      <c r="CG162" s="9">
        <v>145.69</v>
      </c>
    </row>
    <row r="163" spans="1:85" x14ac:dyDescent="0.3">
      <c r="A163" s="3" t="str">
        <f t="shared" si="4"/>
        <v>NON ADDCross-Foundation ActivitiesNavigating the New Arctic (NNA) - TotalTotal</v>
      </c>
      <c r="B163" s="6" t="s">
        <v>223</v>
      </c>
      <c r="C163" s="6" t="s">
        <v>224</v>
      </c>
      <c r="D163" s="6" t="s">
        <v>239</v>
      </c>
      <c r="E163" s="6" t="s">
        <v>24</v>
      </c>
      <c r="F163" s="6"/>
      <c r="G163" s="6"/>
      <c r="H163" s="6"/>
      <c r="I163" s="6"/>
      <c r="J163" s="6"/>
      <c r="K163" s="8">
        <v>2</v>
      </c>
      <c r="L163" s="8">
        <v>2</v>
      </c>
      <c r="M163" s="6"/>
      <c r="N163" s="6"/>
      <c r="O163" s="6"/>
      <c r="P163" s="6"/>
      <c r="Q163" s="6"/>
      <c r="R163" s="6"/>
      <c r="S163" s="6"/>
      <c r="T163" s="6"/>
      <c r="U163" s="6"/>
      <c r="V163" s="6"/>
      <c r="W163" s="6"/>
      <c r="X163" s="6"/>
      <c r="Y163" s="6"/>
      <c r="Z163" s="8">
        <v>0</v>
      </c>
      <c r="AA163" s="8">
        <v>0</v>
      </c>
      <c r="AB163" s="6"/>
      <c r="AC163" s="6"/>
      <c r="AD163" s="6"/>
      <c r="AE163" s="8">
        <v>1</v>
      </c>
      <c r="AF163" s="6"/>
      <c r="AG163" s="8">
        <v>30</v>
      </c>
      <c r="AH163" s="8">
        <v>31</v>
      </c>
      <c r="AI163" s="6"/>
      <c r="AJ163" s="6"/>
      <c r="AK163" s="6"/>
      <c r="AL163" s="6"/>
      <c r="AM163" s="6"/>
      <c r="AN163" s="6"/>
      <c r="AO163" s="6"/>
      <c r="AP163" s="6"/>
      <c r="AQ163" s="6"/>
      <c r="AR163" s="6"/>
      <c r="AS163" s="6"/>
      <c r="AT163" s="6"/>
      <c r="AU163" s="8">
        <v>0.5</v>
      </c>
      <c r="AV163" s="8">
        <v>0.5</v>
      </c>
      <c r="AW163" s="6"/>
      <c r="AX163" s="6"/>
      <c r="AY163" s="6"/>
      <c r="AZ163" s="6"/>
      <c r="BA163" s="6"/>
      <c r="BB163" s="6"/>
      <c r="BC163" s="8">
        <v>0.5</v>
      </c>
      <c r="BD163" s="8">
        <v>0.5</v>
      </c>
      <c r="BE163" s="6"/>
      <c r="BF163" s="6"/>
      <c r="BG163" s="6"/>
      <c r="BH163" s="6"/>
      <c r="BI163" s="6"/>
      <c r="BJ163" s="6"/>
      <c r="BK163" s="6"/>
      <c r="BL163" s="8">
        <v>34</v>
      </c>
      <c r="BM163" s="6"/>
      <c r="BN163" s="6"/>
      <c r="BO163" s="6"/>
      <c r="BP163" s="6"/>
      <c r="BQ163" s="8">
        <v>1.2</v>
      </c>
      <c r="BR163" s="8">
        <v>1.2</v>
      </c>
      <c r="BS163" s="8">
        <v>1.2</v>
      </c>
      <c r="BT163" s="6"/>
      <c r="BU163" s="6"/>
      <c r="BV163" s="6"/>
      <c r="BW163" s="6"/>
      <c r="BX163" s="6"/>
      <c r="BY163" s="6"/>
      <c r="BZ163" s="6"/>
      <c r="CA163" s="6"/>
      <c r="CB163" s="6"/>
      <c r="CC163" s="6"/>
      <c r="CD163" s="6"/>
      <c r="CE163" s="6"/>
      <c r="CF163" s="6"/>
      <c r="CG163" s="9">
        <v>35.200000000000003</v>
      </c>
    </row>
    <row r="164" spans="1:85" x14ac:dyDescent="0.3">
      <c r="A164" s="3" t="str">
        <f t="shared" si="4"/>
        <v>NON ADDCross-Foundation ActivitiesQIS Research CentersTotal</v>
      </c>
      <c r="B164" s="6" t="s">
        <v>223</v>
      </c>
      <c r="C164" s="6" t="s">
        <v>224</v>
      </c>
      <c r="D164" s="6" t="s">
        <v>316</v>
      </c>
      <c r="E164" s="6" t="s">
        <v>24</v>
      </c>
      <c r="F164" s="6"/>
      <c r="G164" s="6"/>
      <c r="H164" s="6"/>
      <c r="I164" s="6"/>
      <c r="J164" s="6"/>
      <c r="K164" s="6"/>
      <c r="L164" s="6"/>
      <c r="M164" s="6"/>
      <c r="N164" s="6"/>
      <c r="O164" s="6"/>
      <c r="P164" s="6"/>
      <c r="Q164" s="6"/>
      <c r="R164" s="6"/>
      <c r="S164" s="6"/>
      <c r="T164" s="6"/>
      <c r="U164" s="6"/>
      <c r="V164" s="6"/>
      <c r="W164" s="6"/>
      <c r="X164" s="6"/>
      <c r="Y164" s="6"/>
      <c r="Z164" s="8">
        <v>6</v>
      </c>
      <c r="AA164" s="8">
        <v>6</v>
      </c>
      <c r="AB164" s="6"/>
      <c r="AC164" s="6"/>
      <c r="AD164" s="6"/>
      <c r="AE164" s="6"/>
      <c r="AF164" s="6"/>
      <c r="AG164" s="6"/>
      <c r="AH164" s="6"/>
      <c r="AI164" s="6"/>
      <c r="AJ164" s="6"/>
      <c r="AK164" s="6"/>
      <c r="AL164" s="6"/>
      <c r="AM164" s="8">
        <v>43.8</v>
      </c>
      <c r="AN164" s="6"/>
      <c r="AO164" s="6"/>
      <c r="AP164" s="8">
        <v>43.8</v>
      </c>
      <c r="AQ164" s="6"/>
      <c r="AR164" s="6"/>
      <c r="AS164" s="6"/>
      <c r="AT164" s="6"/>
      <c r="AU164" s="6"/>
      <c r="AV164" s="6"/>
      <c r="AW164" s="6"/>
      <c r="AX164" s="6"/>
      <c r="AY164" s="6"/>
      <c r="AZ164" s="6"/>
      <c r="BA164" s="6"/>
      <c r="BB164" s="6"/>
      <c r="BC164" s="6"/>
      <c r="BD164" s="6"/>
      <c r="BE164" s="8">
        <v>3.75</v>
      </c>
      <c r="BF164" s="6"/>
      <c r="BG164" s="8">
        <v>3.75</v>
      </c>
      <c r="BH164" s="6"/>
      <c r="BI164" s="6"/>
      <c r="BJ164" s="6"/>
      <c r="BK164" s="6"/>
      <c r="BL164" s="8">
        <v>53.55</v>
      </c>
      <c r="BM164" s="6"/>
      <c r="BN164" s="6"/>
      <c r="BO164" s="6"/>
      <c r="BP164" s="6"/>
      <c r="BQ164" s="6"/>
      <c r="BR164" s="6"/>
      <c r="BS164" s="6"/>
      <c r="BT164" s="6"/>
      <c r="BU164" s="6"/>
      <c r="BV164" s="6"/>
      <c r="BW164" s="6"/>
      <c r="BX164" s="6"/>
      <c r="BY164" s="6"/>
      <c r="BZ164" s="6"/>
      <c r="CA164" s="6"/>
      <c r="CB164" s="6"/>
      <c r="CC164" s="6"/>
      <c r="CD164" s="6"/>
      <c r="CE164" s="6"/>
      <c r="CF164" s="6"/>
      <c r="CG164" s="9">
        <v>53.55</v>
      </c>
    </row>
    <row r="165" spans="1:85" x14ac:dyDescent="0.3">
      <c r="A165" s="3" t="str">
        <f t="shared" si="4"/>
        <v>NON ADDCross-Foundation ActivitiesRisk and ResilienceTotal</v>
      </c>
      <c r="B165" s="6" t="s">
        <v>223</v>
      </c>
      <c r="C165" s="6" t="s">
        <v>224</v>
      </c>
      <c r="D165" s="6" t="s">
        <v>241</v>
      </c>
      <c r="E165" s="6" t="s">
        <v>24</v>
      </c>
      <c r="F165" s="6"/>
      <c r="G165" s="6"/>
      <c r="H165" s="6"/>
      <c r="I165" s="6"/>
      <c r="J165" s="6"/>
      <c r="K165" s="6"/>
      <c r="L165" s="6"/>
      <c r="M165" s="6"/>
      <c r="N165" s="6"/>
      <c r="O165" s="6"/>
      <c r="P165" s="6"/>
      <c r="Q165" s="6"/>
      <c r="R165" s="8">
        <v>0</v>
      </c>
      <c r="S165" s="8">
        <v>0</v>
      </c>
      <c r="T165" s="6"/>
      <c r="U165" s="6"/>
      <c r="V165" s="6"/>
      <c r="W165" s="6"/>
      <c r="X165" s="8">
        <v>0</v>
      </c>
      <c r="Y165" s="6"/>
      <c r="Z165" s="8">
        <v>0</v>
      </c>
      <c r="AA165" s="8">
        <v>0</v>
      </c>
      <c r="AB165" s="6"/>
      <c r="AC165" s="6"/>
      <c r="AD165" s="6"/>
      <c r="AE165" s="8">
        <v>0</v>
      </c>
      <c r="AF165" s="8">
        <v>0</v>
      </c>
      <c r="AG165" s="6"/>
      <c r="AH165" s="8">
        <v>0</v>
      </c>
      <c r="AI165" s="8">
        <v>0</v>
      </c>
      <c r="AJ165" s="8">
        <v>0</v>
      </c>
      <c r="AK165" s="6"/>
      <c r="AL165" s="8">
        <v>0.5</v>
      </c>
      <c r="AM165" s="6"/>
      <c r="AN165" s="6"/>
      <c r="AO165" s="6"/>
      <c r="AP165" s="8">
        <v>0.5</v>
      </c>
      <c r="AQ165" s="8">
        <v>0</v>
      </c>
      <c r="AR165" s="6"/>
      <c r="AS165" s="6"/>
      <c r="AT165" s="8">
        <v>0</v>
      </c>
      <c r="AU165" s="8">
        <v>0</v>
      </c>
      <c r="AV165" s="8">
        <v>0</v>
      </c>
      <c r="AW165" s="6"/>
      <c r="AX165" s="6"/>
      <c r="AY165" s="6"/>
      <c r="AZ165" s="6"/>
      <c r="BA165" s="6"/>
      <c r="BB165" s="6"/>
      <c r="BC165" s="6"/>
      <c r="BD165" s="6"/>
      <c r="BE165" s="6"/>
      <c r="BF165" s="6"/>
      <c r="BG165" s="6"/>
      <c r="BH165" s="6"/>
      <c r="BI165" s="6"/>
      <c r="BJ165" s="6"/>
      <c r="BK165" s="6"/>
      <c r="BL165" s="8">
        <v>0.5</v>
      </c>
      <c r="BM165" s="6"/>
      <c r="BN165" s="6"/>
      <c r="BO165" s="6"/>
      <c r="BP165" s="6"/>
      <c r="BQ165" s="6"/>
      <c r="BR165" s="6"/>
      <c r="BS165" s="6"/>
      <c r="BT165" s="6"/>
      <c r="BU165" s="6"/>
      <c r="BV165" s="6"/>
      <c r="BW165" s="6"/>
      <c r="BX165" s="6"/>
      <c r="BY165" s="6"/>
      <c r="BZ165" s="6"/>
      <c r="CA165" s="6"/>
      <c r="CB165" s="6"/>
      <c r="CC165" s="6"/>
      <c r="CD165" s="6"/>
      <c r="CE165" s="6"/>
      <c r="CF165" s="6"/>
      <c r="CG165" s="9">
        <v>0.5</v>
      </c>
    </row>
    <row r="166" spans="1:85" x14ac:dyDescent="0.3">
      <c r="A166" s="3" t="str">
        <f t="shared" si="4"/>
        <v>NON ADDCross-Foundation ActivitiesSecure and Trustworthy Cyberspace (SaTC)Total</v>
      </c>
      <c r="B166" s="6" t="s">
        <v>223</v>
      </c>
      <c r="C166" s="6" t="s">
        <v>224</v>
      </c>
      <c r="D166" s="6" t="s">
        <v>242</v>
      </c>
      <c r="E166" s="6" t="s">
        <v>24</v>
      </c>
      <c r="F166" s="6"/>
      <c r="G166" s="6"/>
      <c r="H166" s="6"/>
      <c r="I166" s="6"/>
      <c r="J166" s="6"/>
      <c r="K166" s="6"/>
      <c r="L166" s="6"/>
      <c r="M166" s="6"/>
      <c r="N166" s="6"/>
      <c r="O166" s="6"/>
      <c r="P166" s="6"/>
      <c r="Q166" s="6"/>
      <c r="R166" s="8">
        <v>75.81</v>
      </c>
      <c r="S166" s="8">
        <v>75.81</v>
      </c>
      <c r="T166" s="6"/>
      <c r="U166" s="6"/>
      <c r="V166" s="6"/>
      <c r="W166" s="6"/>
      <c r="X166" s="6"/>
      <c r="Y166" s="6"/>
      <c r="Z166" s="8">
        <v>3.25</v>
      </c>
      <c r="AA166" s="8">
        <v>3.25</v>
      </c>
      <c r="AB166" s="6"/>
      <c r="AC166" s="6"/>
      <c r="AD166" s="6"/>
      <c r="AE166" s="6"/>
      <c r="AF166" s="6"/>
      <c r="AG166" s="6"/>
      <c r="AH166" s="6"/>
      <c r="AI166" s="6"/>
      <c r="AJ166" s="6"/>
      <c r="AK166" s="6"/>
      <c r="AL166" s="8">
        <v>1.25</v>
      </c>
      <c r="AM166" s="6"/>
      <c r="AN166" s="6"/>
      <c r="AO166" s="6"/>
      <c r="AP166" s="8">
        <v>1.25</v>
      </c>
      <c r="AQ166" s="8">
        <v>0</v>
      </c>
      <c r="AR166" s="6"/>
      <c r="AS166" s="8">
        <v>0</v>
      </c>
      <c r="AT166" s="8">
        <v>0</v>
      </c>
      <c r="AU166" s="8">
        <v>4</v>
      </c>
      <c r="AV166" s="8">
        <v>4</v>
      </c>
      <c r="AW166" s="6"/>
      <c r="AX166" s="6"/>
      <c r="AY166" s="6"/>
      <c r="AZ166" s="6"/>
      <c r="BA166" s="6"/>
      <c r="BB166" s="6"/>
      <c r="BC166" s="6"/>
      <c r="BD166" s="6"/>
      <c r="BE166" s="6"/>
      <c r="BF166" s="6"/>
      <c r="BG166" s="6"/>
      <c r="BH166" s="6"/>
      <c r="BI166" s="6"/>
      <c r="BJ166" s="6"/>
      <c r="BK166" s="6"/>
      <c r="BL166" s="8">
        <v>84.31</v>
      </c>
      <c r="BM166" s="8">
        <v>75</v>
      </c>
      <c r="BN166" s="6"/>
      <c r="BO166" s="6"/>
      <c r="BP166" s="6"/>
      <c r="BQ166" s="6"/>
      <c r="BR166" s="8">
        <v>75</v>
      </c>
      <c r="BS166" s="8">
        <v>75</v>
      </c>
      <c r="BT166" s="6"/>
      <c r="BU166" s="6"/>
      <c r="BV166" s="6"/>
      <c r="BW166" s="6"/>
      <c r="BX166" s="6"/>
      <c r="BY166" s="6"/>
      <c r="BZ166" s="6"/>
      <c r="CA166" s="6"/>
      <c r="CB166" s="6"/>
      <c r="CC166" s="6"/>
      <c r="CD166" s="6"/>
      <c r="CE166" s="6"/>
      <c r="CF166" s="6"/>
      <c r="CG166" s="9">
        <v>159.31</v>
      </c>
    </row>
    <row r="167" spans="1:85" x14ac:dyDescent="0.3">
      <c r="A167" s="3" t="str">
        <f t="shared" si="4"/>
        <v>NON ADDCross-Foundation ActivitiesThe Future of Work at the Human-Technology Frontier (FW-HTF) - TotalTotal</v>
      </c>
      <c r="B167" s="6" t="s">
        <v>223</v>
      </c>
      <c r="C167" s="6" t="s">
        <v>224</v>
      </c>
      <c r="D167" s="6" t="s">
        <v>243</v>
      </c>
      <c r="E167" s="6" t="s">
        <v>24</v>
      </c>
      <c r="F167" s="6"/>
      <c r="G167" s="6"/>
      <c r="H167" s="6"/>
      <c r="I167" s="6"/>
      <c r="J167" s="6"/>
      <c r="K167" s="6"/>
      <c r="L167" s="6"/>
      <c r="M167" s="6"/>
      <c r="N167" s="6"/>
      <c r="O167" s="6"/>
      <c r="P167" s="6"/>
      <c r="Q167" s="6"/>
      <c r="R167" s="8">
        <v>83.5</v>
      </c>
      <c r="S167" s="8">
        <v>83.5</v>
      </c>
      <c r="T167" s="6"/>
      <c r="U167" s="6"/>
      <c r="V167" s="6"/>
      <c r="W167" s="6"/>
      <c r="X167" s="6"/>
      <c r="Y167" s="6"/>
      <c r="Z167" s="8">
        <v>48</v>
      </c>
      <c r="AA167" s="8">
        <v>48</v>
      </c>
      <c r="AB167" s="6"/>
      <c r="AC167" s="6"/>
      <c r="AD167" s="6"/>
      <c r="AE167" s="6"/>
      <c r="AF167" s="6"/>
      <c r="AG167" s="6"/>
      <c r="AH167" s="6"/>
      <c r="AI167" s="6"/>
      <c r="AJ167" s="6"/>
      <c r="AK167" s="6"/>
      <c r="AL167" s="6"/>
      <c r="AM167" s="6"/>
      <c r="AN167" s="6"/>
      <c r="AO167" s="8">
        <v>0</v>
      </c>
      <c r="AP167" s="8">
        <v>0</v>
      </c>
      <c r="AQ167" s="6"/>
      <c r="AR167" s="6"/>
      <c r="AS167" s="6"/>
      <c r="AT167" s="6"/>
      <c r="AU167" s="8">
        <v>11.5</v>
      </c>
      <c r="AV167" s="8">
        <v>11.5</v>
      </c>
      <c r="AW167" s="6"/>
      <c r="AX167" s="6"/>
      <c r="AY167" s="6"/>
      <c r="AZ167" s="6"/>
      <c r="BA167" s="8">
        <v>22.5</v>
      </c>
      <c r="BB167" s="8">
        <v>22.5</v>
      </c>
      <c r="BC167" s="6"/>
      <c r="BD167" s="6"/>
      <c r="BE167" s="6"/>
      <c r="BF167" s="8">
        <v>0</v>
      </c>
      <c r="BG167" s="8">
        <v>0</v>
      </c>
      <c r="BH167" s="6"/>
      <c r="BI167" s="6"/>
      <c r="BJ167" s="6"/>
      <c r="BK167" s="6"/>
      <c r="BL167" s="8">
        <v>165.5</v>
      </c>
      <c r="BM167" s="6"/>
      <c r="BN167" s="6"/>
      <c r="BO167" s="6"/>
      <c r="BP167" s="6"/>
      <c r="BQ167" s="8">
        <v>10.3</v>
      </c>
      <c r="BR167" s="8">
        <v>10.3</v>
      </c>
      <c r="BS167" s="8">
        <v>10.3</v>
      </c>
      <c r="BT167" s="6"/>
      <c r="BU167" s="6"/>
      <c r="BV167" s="6"/>
      <c r="BW167" s="6"/>
      <c r="BX167" s="6"/>
      <c r="BY167" s="6"/>
      <c r="BZ167" s="6"/>
      <c r="CA167" s="6"/>
      <c r="CB167" s="6"/>
      <c r="CC167" s="6"/>
      <c r="CD167" s="6"/>
      <c r="CE167" s="6"/>
      <c r="CF167" s="6"/>
      <c r="CG167" s="9">
        <v>175.8</v>
      </c>
    </row>
    <row r="168" spans="1:85" x14ac:dyDescent="0.3">
      <c r="A168" s="3" t="str">
        <f t="shared" si="4"/>
        <v>NON ADDCross-Foundation ActivitiesUnderstanding the Rules of Life (URoL) - TotalTotal</v>
      </c>
      <c r="B168" s="6" t="s">
        <v>223</v>
      </c>
      <c r="C168" s="6" t="s">
        <v>224</v>
      </c>
      <c r="D168" s="6" t="s">
        <v>246</v>
      </c>
      <c r="E168" s="6" t="s">
        <v>24</v>
      </c>
      <c r="F168" s="6"/>
      <c r="G168" s="6"/>
      <c r="H168" s="6"/>
      <c r="I168" s="6"/>
      <c r="J168" s="6"/>
      <c r="K168" s="8">
        <v>50</v>
      </c>
      <c r="L168" s="8">
        <v>50</v>
      </c>
      <c r="M168" s="6"/>
      <c r="N168" s="6"/>
      <c r="O168" s="6"/>
      <c r="P168" s="6"/>
      <c r="Q168" s="6"/>
      <c r="R168" s="8">
        <v>6</v>
      </c>
      <c r="S168" s="8">
        <v>6</v>
      </c>
      <c r="T168" s="6"/>
      <c r="U168" s="6"/>
      <c r="V168" s="6"/>
      <c r="W168" s="6"/>
      <c r="X168" s="6"/>
      <c r="Y168" s="6"/>
      <c r="Z168" s="8">
        <v>3</v>
      </c>
      <c r="AA168" s="8">
        <v>3</v>
      </c>
      <c r="AB168" s="6"/>
      <c r="AC168" s="6"/>
      <c r="AD168" s="8">
        <v>4</v>
      </c>
      <c r="AE168" s="6"/>
      <c r="AF168" s="6"/>
      <c r="AG168" s="8">
        <v>0</v>
      </c>
      <c r="AH168" s="8">
        <v>4</v>
      </c>
      <c r="AI168" s="6"/>
      <c r="AJ168" s="8">
        <v>10</v>
      </c>
      <c r="AK168" s="8">
        <v>0</v>
      </c>
      <c r="AL168" s="8">
        <v>5</v>
      </c>
      <c r="AM168" s="6"/>
      <c r="AN168" s="8">
        <v>1</v>
      </c>
      <c r="AO168" s="8">
        <v>0</v>
      </c>
      <c r="AP168" s="8">
        <v>16</v>
      </c>
      <c r="AQ168" s="6"/>
      <c r="AR168" s="6"/>
      <c r="AS168" s="6"/>
      <c r="AT168" s="6"/>
      <c r="AU168" s="8">
        <v>4.5</v>
      </c>
      <c r="AV168" s="8">
        <v>4.5</v>
      </c>
      <c r="AW168" s="6"/>
      <c r="AX168" s="6"/>
      <c r="AY168" s="6"/>
      <c r="AZ168" s="6"/>
      <c r="BA168" s="8">
        <v>10</v>
      </c>
      <c r="BB168" s="8">
        <v>10</v>
      </c>
      <c r="BC168" s="6"/>
      <c r="BD168" s="6"/>
      <c r="BE168" s="6"/>
      <c r="BF168" s="6"/>
      <c r="BG168" s="6"/>
      <c r="BH168" s="6"/>
      <c r="BI168" s="6"/>
      <c r="BJ168" s="6"/>
      <c r="BK168" s="6"/>
      <c r="BL168" s="8">
        <v>93.5</v>
      </c>
      <c r="BM168" s="6"/>
      <c r="BN168" s="6"/>
      <c r="BO168" s="6"/>
      <c r="BP168" s="6"/>
      <c r="BQ168" s="6"/>
      <c r="BR168" s="6"/>
      <c r="BS168" s="6"/>
      <c r="BT168" s="6"/>
      <c r="BU168" s="6"/>
      <c r="BV168" s="6"/>
      <c r="BW168" s="6"/>
      <c r="BX168" s="6"/>
      <c r="BY168" s="6"/>
      <c r="BZ168" s="6"/>
      <c r="CA168" s="6"/>
      <c r="CB168" s="6"/>
      <c r="CC168" s="6"/>
      <c r="CD168" s="6"/>
      <c r="CE168" s="6"/>
      <c r="CF168" s="6"/>
      <c r="CG168" s="9">
        <v>93.5</v>
      </c>
    </row>
    <row r="169" spans="1:85" x14ac:dyDescent="0.3">
      <c r="A169" s="3" t="str">
        <f t="shared" si="4"/>
        <v>NON ADDCross-Foundation ActivitiesWindows on the Universe (WoU) - TotalTotal</v>
      </c>
      <c r="B169" s="6" t="s">
        <v>223</v>
      </c>
      <c r="C169" s="6" t="s">
        <v>224</v>
      </c>
      <c r="D169" s="6" t="s">
        <v>247</v>
      </c>
      <c r="E169" s="6" t="s">
        <v>24</v>
      </c>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8">
        <v>5.85</v>
      </c>
      <c r="AF169" s="6"/>
      <c r="AG169" s="6"/>
      <c r="AH169" s="8">
        <v>5.85</v>
      </c>
      <c r="AI169" s="8">
        <v>5</v>
      </c>
      <c r="AJ169" s="6"/>
      <c r="AK169" s="6"/>
      <c r="AL169" s="6"/>
      <c r="AM169" s="8">
        <v>30</v>
      </c>
      <c r="AN169" s="8">
        <v>21</v>
      </c>
      <c r="AO169" s="8">
        <v>0</v>
      </c>
      <c r="AP169" s="8">
        <v>56</v>
      </c>
      <c r="AQ169" s="6"/>
      <c r="AR169" s="6"/>
      <c r="AS169" s="6"/>
      <c r="AT169" s="6"/>
      <c r="AU169" s="6"/>
      <c r="AV169" s="6"/>
      <c r="AW169" s="6"/>
      <c r="AX169" s="6"/>
      <c r="AY169" s="6"/>
      <c r="AZ169" s="6"/>
      <c r="BA169" s="6"/>
      <c r="BB169" s="6"/>
      <c r="BC169" s="6"/>
      <c r="BD169" s="6"/>
      <c r="BE169" s="6"/>
      <c r="BF169" s="6"/>
      <c r="BG169" s="6"/>
      <c r="BH169" s="6"/>
      <c r="BI169" s="6"/>
      <c r="BJ169" s="6"/>
      <c r="BK169" s="6"/>
      <c r="BL169" s="8">
        <v>61.85</v>
      </c>
      <c r="BM169" s="6"/>
      <c r="BN169" s="6"/>
      <c r="BO169" s="6"/>
      <c r="BP169" s="6"/>
      <c r="BQ169" s="6"/>
      <c r="BR169" s="6"/>
      <c r="BS169" s="6"/>
      <c r="BT169" s="6"/>
      <c r="BU169" s="6"/>
      <c r="BV169" s="6"/>
      <c r="BW169" s="6"/>
      <c r="BX169" s="6"/>
      <c r="BY169" s="6"/>
      <c r="BZ169" s="6"/>
      <c r="CA169" s="6"/>
      <c r="CB169" s="6"/>
      <c r="CC169" s="6"/>
      <c r="CD169" s="6"/>
      <c r="CE169" s="6"/>
      <c r="CF169" s="6"/>
      <c r="CG169" s="9">
        <v>61.85</v>
      </c>
    </row>
    <row r="170" spans="1:85" x14ac:dyDescent="0.3">
      <c r="A170" s="3" t="str">
        <f t="shared" si="4"/>
        <v>NON ADDHomeland Security ActivitiesTotalTotal</v>
      </c>
      <c r="B170" s="6" t="s">
        <v>223</v>
      </c>
      <c r="C170" s="6" t="s">
        <v>248</v>
      </c>
      <c r="D170" s="6" t="s">
        <v>24</v>
      </c>
      <c r="E170" s="6" t="s">
        <v>24</v>
      </c>
      <c r="F170" s="6"/>
      <c r="G170" s="6"/>
      <c r="H170" s="6"/>
      <c r="I170" s="6"/>
      <c r="J170" s="6"/>
      <c r="K170" s="8">
        <v>16</v>
      </c>
      <c r="L170" s="8">
        <v>16</v>
      </c>
      <c r="M170" s="6"/>
      <c r="N170" s="6"/>
      <c r="O170" s="6"/>
      <c r="P170" s="6"/>
      <c r="Q170" s="6"/>
      <c r="R170" s="8">
        <v>188.67</v>
      </c>
      <c r="S170" s="8">
        <v>188.67</v>
      </c>
      <c r="T170" s="6"/>
      <c r="U170" s="6"/>
      <c r="V170" s="6"/>
      <c r="W170" s="6"/>
      <c r="X170" s="6"/>
      <c r="Y170" s="6"/>
      <c r="Z170" s="8">
        <v>151.13</v>
      </c>
      <c r="AA170" s="8">
        <v>151.13</v>
      </c>
      <c r="AB170" s="6"/>
      <c r="AC170" s="6"/>
      <c r="AD170" s="6"/>
      <c r="AE170" s="8">
        <v>3.31</v>
      </c>
      <c r="AF170" s="6"/>
      <c r="AG170" s="6"/>
      <c r="AH170" s="8">
        <v>3.31</v>
      </c>
      <c r="AI170" s="6"/>
      <c r="AJ170" s="8">
        <v>0</v>
      </c>
      <c r="AK170" s="6"/>
      <c r="AL170" s="8">
        <v>1.75</v>
      </c>
      <c r="AM170" s="6"/>
      <c r="AN170" s="6"/>
      <c r="AO170" s="6"/>
      <c r="AP170" s="8">
        <v>1.75</v>
      </c>
      <c r="AQ170" s="8">
        <v>0</v>
      </c>
      <c r="AR170" s="6"/>
      <c r="AS170" s="8">
        <v>0</v>
      </c>
      <c r="AT170" s="8">
        <v>0</v>
      </c>
      <c r="AU170" s="8">
        <v>7.5</v>
      </c>
      <c r="AV170" s="8">
        <v>7.5</v>
      </c>
      <c r="AW170" s="6"/>
      <c r="AX170" s="6"/>
      <c r="AY170" s="6"/>
      <c r="AZ170" s="6"/>
      <c r="BA170" s="8">
        <v>24.85</v>
      </c>
      <c r="BB170" s="8">
        <v>24.85</v>
      </c>
      <c r="BC170" s="6"/>
      <c r="BD170" s="6"/>
      <c r="BE170" s="6"/>
      <c r="BF170" s="8">
        <v>5.86</v>
      </c>
      <c r="BG170" s="8">
        <v>5.86</v>
      </c>
      <c r="BH170" s="6"/>
      <c r="BI170" s="6"/>
      <c r="BJ170" s="6"/>
      <c r="BK170" s="6"/>
      <c r="BL170" s="8">
        <v>399.07</v>
      </c>
      <c r="BM170" s="8">
        <v>75</v>
      </c>
      <c r="BN170" s="6"/>
      <c r="BO170" s="6"/>
      <c r="BP170" s="6"/>
      <c r="BQ170" s="8">
        <v>1</v>
      </c>
      <c r="BR170" s="8">
        <v>76</v>
      </c>
      <c r="BS170" s="8">
        <v>76</v>
      </c>
      <c r="BT170" s="6"/>
      <c r="BU170" s="6"/>
      <c r="BV170" s="6"/>
      <c r="BW170" s="6"/>
      <c r="BX170" s="8">
        <v>4.26</v>
      </c>
      <c r="BY170" s="8">
        <v>4.26</v>
      </c>
      <c r="BZ170" s="8">
        <v>4.26</v>
      </c>
      <c r="CA170" s="6"/>
      <c r="CB170" s="6"/>
      <c r="CC170" s="6"/>
      <c r="CD170" s="6"/>
      <c r="CE170" s="6"/>
      <c r="CF170" s="6"/>
      <c r="CG170" s="9">
        <v>479.33</v>
      </c>
    </row>
    <row r="171" spans="1:85" x14ac:dyDescent="0.3">
      <c r="A171" s="3" t="str">
        <f t="shared" si="4"/>
        <v>NON ADDHomeland Security ActivitiesDefending Against Catastrophic ThreatsTotal</v>
      </c>
      <c r="B171" s="6" t="s">
        <v>223</v>
      </c>
      <c r="C171" s="6" t="s">
        <v>248</v>
      </c>
      <c r="D171" s="6" t="s">
        <v>249</v>
      </c>
      <c r="E171" s="6" t="s">
        <v>24</v>
      </c>
      <c r="F171" s="6"/>
      <c r="G171" s="6"/>
      <c r="H171" s="6"/>
      <c r="I171" s="6"/>
      <c r="J171" s="6"/>
      <c r="K171" s="8">
        <v>16</v>
      </c>
      <c r="L171" s="8">
        <v>16</v>
      </c>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8">
        <v>16</v>
      </c>
      <c r="BM171" s="6"/>
      <c r="BN171" s="6"/>
      <c r="BO171" s="6"/>
      <c r="BP171" s="6"/>
      <c r="BQ171" s="6"/>
      <c r="BR171" s="6"/>
      <c r="BS171" s="6"/>
      <c r="BT171" s="6"/>
      <c r="BU171" s="6"/>
      <c r="BV171" s="6"/>
      <c r="BW171" s="6"/>
      <c r="BX171" s="6"/>
      <c r="BY171" s="6"/>
      <c r="BZ171" s="6"/>
      <c r="CA171" s="6"/>
      <c r="CB171" s="6"/>
      <c r="CC171" s="6"/>
      <c r="CD171" s="6"/>
      <c r="CE171" s="6"/>
      <c r="CF171" s="6"/>
      <c r="CG171" s="9">
        <v>16</v>
      </c>
    </row>
    <row r="172" spans="1:85" x14ac:dyDescent="0.3">
      <c r="A172" s="3" t="str">
        <f t="shared" si="4"/>
        <v>NON ADDHomeland Security ActivitiesDefending Against Catastrophic ThreatsHSA-Research to Combat Bioterrorism - Microbial Genomics, Analysis &amp; Modeling</v>
      </c>
      <c r="B172" s="6" t="s">
        <v>223</v>
      </c>
      <c r="C172" s="6" t="s">
        <v>248</v>
      </c>
      <c r="D172" s="6" t="s">
        <v>249</v>
      </c>
      <c r="E172" s="6" t="s">
        <v>250</v>
      </c>
      <c r="F172" s="6"/>
      <c r="G172" s="6"/>
      <c r="H172" s="6"/>
      <c r="I172" s="6"/>
      <c r="J172" s="6"/>
      <c r="K172" s="8">
        <v>16</v>
      </c>
      <c r="L172" s="8">
        <v>16</v>
      </c>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8">
        <v>16</v>
      </c>
      <c r="BM172" s="6"/>
      <c r="BN172" s="6"/>
      <c r="BO172" s="6"/>
      <c r="BP172" s="6"/>
      <c r="BQ172" s="6"/>
      <c r="BR172" s="6"/>
      <c r="BS172" s="6"/>
      <c r="BT172" s="6"/>
      <c r="BU172" s="6"/>
      <c r="BV172" s="6"/>
      <c r="BW172" s="6"/>
      <c r="BX172" s="6"/>
      <c r="BY172" s="6"/>
      <c r="BZ172" s="6"/>
      <c r="CA172" s="6"/>
      <c r="CB172" s="6"/>
      <c r="CC172" s="6"/>
      <c r="CD172" s="6"/>
      <c r="CE172" s="6"/>
      <c r="CF172" s="6"/>
      <c r="CG172" s="9">
        <v>16</v>
      </c>
    </row>
    <row r="173" spans="1:85" x14ac:dyDescent="0.3">
      <c r="A173" s="3" t="str">
        <f t="shared" si="4"/>
        <v>NON ADDHomeland Security ActivitiesProtecting Critical Infrastructure &amp; Key AssetsTotal</v>
      </c>
      <c r="B173" s="6" t="s">
        <v>223</v>
      </c>
      <c r="C173" s="6" t="s">
        <v>248</v>
      </c>
      <c r="D173" s="6" t="s">
        <v>251</v>
      </c>
      <c r="E173" s="6" t="s">
        <v>24</v>
      </c>
      <c r="F173" s="6"/>
      <c r="G173" s="6"/>
      <c r="H173" s="6"/>
      <c r="I173" s="6"/>
      <c r="J173" s="6"/>
      <c r="K173" s="6"/>
      <c r="L173" s="6"/>
      <c r="M173" s="6"/>
      <c r="N173" s="6"/>
      <c r="O173" s="6"/>
      <c r="P173" s="6"/>
      <c r="Q173" s="6"/>
      <c r="R173" s="8">
        <v>188.67</v>
      </c>
      <c r="S173" s="8">
        <v>188.67</v>
      </c>
      <c r="T173" s="6"/>
      <c r="U173" s="6"/>
      <c r="V173" s="6"/>
      <c r="W173" s="6"/>
      <c r="X173" s="6"/>
      <c r="Y173" s="6"/>
      <c r="Z173" s="8">
        <v>151.13</v>
      </c>
      <c r="AA173" s="8">
        <v>151.13</v>
      </c>
      <c r="AB173" s="6"/>
      <c r="AC173" s="6"/>
      <c r="AD173" s="6"/>
      <c r="AE173" s="8">
        <v>3.31</v>
      </c>
      <c r="AF173" s="6"/>
      <c r="AG173" s="6"/>
      <c r="AH173" s="8">
        <v>3.31</v>
      </c>
      <c r="AI173" s="6"/>
      <c r="AJ173" s="8">
        <v>0</v>
      </c>
      <c r="AK173" s="6"/>
      <c r="AL173" s="8">
        <v>1.75</v>
      </c>
      <c r="AM173" s="6"/>
      <c r="AN173" s="6"/>
      <c r="AO173" s="6"/>
      <c r="AP173" s="8">
        <v>1.75</v>
      </c>
      <c r="AQ173" s="8">
        <v>0</v>
      </c>
      <c r="AR173" s="6"/>
      <c r="AS173" s="8">
        <v>0</v>
      </c>
      <c r="AT173" s="8">
        <v>0</v>
      </c>
      <c r="AU173" s="8">
        <v>7.5</v>
      </c>
      <c r="AV173" s="8">
        <v>7.5</v>
      </c>
      <c r="AW173" s="6"/>
      <c r="AX173" s="6"/>
      <c r="AY173" s="6"/>
      <c r="AZ173" s="6"/>
      <c r="BA173" s="8">
        <v>24.85</v>
      </c>
      <c r="BB173" s="8">
        <v>24.85</v>
      </c>
      <c r="BC173" s="6"/>
      <c r="BD173" s="6"/>
      <c r="BE173" s="6"/>
      <c r="BF173" s="8">
        <v>5.86</v>
      </c>
      <c r="BG173" s="8">
        <v>5.86</v>
      </c>
      <c r="BH173" s="6"/>
      <c r="BI173" s="6"/>
      <c r="BJ173" s="6"/>
      <c r="BK173" s="6"/>
      <c r="BL173" s="8">
        <v>383.07</v>
      </c>
      <c r="BM173" s="8">
        <v>75</v>
      </c>
      <c r="BN173" s="6"/>
      <c r="BO173" s="6"/>
      <c r="BP173" s="6"/>
      <c r="BQ173" s="8">
        <v>1</v>
      </c>
      <c r="BR173" s="8">
        <v>76</v>
      </c>
      <c r="BS173" s="8">
        <v>76</v>
      </c>
      <c r="BT173" s="6"/>
      <c r="BU173" s="6"/>
      <c r="BV173" s="6"/>
      <c r="BW173" s="6"/>
      <c r="BX173" s="8">
        <v>4.26</v>
      </c>
      <c r="BY173" s="8">
        <v>4.26</v>
      </c>
      <c r="BZ173" s="8">
        <v>4.26</v>
      </c>
      <c r="CA173" s="6"/>
      <c r="CB173" s="6"/>
      <c r="CC173" s="6"/>
      <c r="CD173" s="6"/>
      <c r="CE173" s="6"/>
      <c r="CF173" s="6"/>
      <c r="CG173" s="9">
        <v>463.33</v>
      </c>
    </row>
    <row r="174" spans="1:85" x14ac:dyDescent="0.3">
      <c r="A174" s="3" t="str">
        <f t="shared" si="4"/>
        <v>NON ADDHomeland Security ActivitiesProtecting Critical Infrastructure &amp; Key AssetsHSA-Antarctic Physical Security</v>
      </c>
      <c r="B174" s="6" t="s">
        <v>223</v>
      </c>
      <c r="C174" s="6" t="s">
        <v>248</v>
      </c>
      <c r="D174" s="6" t="s">
        <v>251</v>
      </c>
      <c r="E174" s="6" t="s">
        <v>252</v>
      </c>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8">
        <v>0.3</v>
      </c>
      <c r="AF174" s="6"/>
      <c r="AG174" s="6"/>
      <c r="AH174" s="8">
        <v>0.3</v>
      </c>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8">
        <v>0.3</v>
      </c>
      <c r="BM174" s="6"/>
      <c r="BN174" s="6"/>
      <c r="BO174" s="6"/>
      <c r="BP174" s="6"/>
      <c r="BQ174" s="6"/>
      <c r="BR174" s="6"/>
      <c r="BS174" s="6"/>
      <c r="BT174" s="6"/>
      <c r="BU174" s="6"/>
      <c r="BV174" s="6"/>
      <c r="BW174" s="6"/>
      <c r="BX174" s="6"/>
      <c r="BY174" s="6"/>
      <c r="BZ174" s="6"/>
      <c r="CA174" s="6"/>
      <c r="CB174" s="6"/>
      <c r="CC174" s="6"/>
      <c r="CD174" s="6"/>
      <c r="CE174" s="6"/>
      <c r="CF174" s="6"/>
      <c r="CG174" s="9">
        <v>0.3</v>
      </c>
    </row>
    <row r="175" spans="1:85" x14ac:dyDescent="0.3">
      <c r="A175" s="3" t="str">
        <f t="shared" si="4"/>
        <v>NON ADDHomeland Security ActivitiesProtecting Critical Infrastructure &amp; Key AssetsHSA-Counterterrorism</v>
      </c>
      <c r="B175" s="6" t="s">
        <v>223</v>
      </c>
      <c r="C175" s="6" t="s">
        <v>248</v>
      </c>
      <c r="D175" s="6" t="s">
        <v>251</v>
      </c>
      <c r="E175" s="6" t="s">
        <v>253</v>
      </c>
      <c r="F175" s="6"/>
      <c r="G175" s="6"/>
      <c r="H175" s="6"/>
      <c r="I175" s="6"/>
      <c r="J175" s="6"/>
      <c r="K175" s="6"/>
      <c r="L175" s="6"/>
      <c r="M175" s="6"/>
      <c r="N175" s="6"/>
      <c r="O175" s="6"/>
      <c r="P175" s="6"/>
      <c r="Q175" s="6"/>
      <c r="R175" s="8">
        <v>22.8</v>
      </c>
      <c r="S175" s="8">
        <v>22.8</v>
      </c>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8">
        <v>22.8</v>
      </c>
      <c r="BM175" s="6"/>
      <c r="BN175" s="6"/>
      <c r="BO175" s="6"/>
      <c r="BP175" s="6"/>
      <c r="BQ175" s="6"/>
      <c r="BR175" s="6"/>
      <c r="BS175" s="6"/>
      <c r="BT175" s="6"/>
      <c r="BU175" s="6"/>
      <c r="BV175" s="6"/>
      <c r="BW175" s="6"/>
      <c r="BX175" s="6"/>
      <c r="BY175" s="6"/>
      <c r="BZ175" s="6"/>
      <c r="CA175" s="6"/>
      <c r="CB175" s="6"/>
      <c r="CC175" s="6"/>
      <c r="CD175" s="6"/>
      <c r="CE175" s="6"/>
      <c r="CF175" s="6"/>
      <c r="CG175" s="9">
        <v>22.8</v>
      </c>
    </row>
    <row r="176" spans="1:85" x14ac:dyDescent="0.3">
      <c r="A176" s="3" t="str">
        <f t="shared" si="4"/>
        <v>NON ADDHomeland Security ActivitiesProtecting Critical Infrastructure &amp; Key AssetsHSA-Cybersecurity</v>
      </c>
      <c r="B176" s="6" t="s">
        <v>223</v>
      </c>
      <c r="C176" s="6" t="s">
        <v>248</v>
      </c>
      <c r="D176" s="6" t="s">
        <v>251</v>
      </c>
      <c r="E176" s="6" t="s">
        <v>254</v>
      </c>
      <c r="F176" s="6"/>
      <c r="G176" s="6"/>
      <c r="H176" s="6"/>
      <c r="I176" s="6"/>
      <c r="J176" s="6"/>
      <c r="K176" s="6"/>
      <c r="L176" s="6"/>
      <c r="M176" s="6"/>
      <c r="N176" s="6"/>
      <c r="O176" s="6"/>
      <c r="P176" s="6"/>
      <c r="Q176" s="6"/>
      <c r="R176" s="8">
        <v>144.97</v>
      </c>
      <c r="S176" s="8">
        <v>144.97</v>
      </c>
      <c r="T176" s="6"/>
      <c r="U176" s="6"/>
      <c r="V176" s="6"/>
      <c r="W176" s="6"/>
      <c r="X176" s="6"/>
      <c r="Y176" s="6"/>
      <c r="Z176" s="8">
        <v>5.42</v>
      </c>
      <c r="AA176" s="8">
        <v>5.42</v>
      </c>
      <c r="AB176" s="6"/>
      <c r="AC176" s="6"/>
      <c r="AD176" s="6"/>
      <c r="AE176" s="6"/>
      <c r="AF176" s="6"/>
      <c r="AG176" s="6"/>
      <c r="AH176" s="6"/>
      <c r="AI176" s="6"/>
      <c r="AJ176" s="6"/>
      <c r="AK176" s="6"/>
      <c r="AL176" s="8">
        <v>1.25</v>
      </c>
      <c r="AM176" s="6"/>
      <c r="AN176" s="6"/>
      <c r="AO176" s="6"/>
      <c r="AP176" s="8">
        <v>1.25</v>
      </c>
      <c r="AQ176" s="8">
        <v>0</v>
      </c>
      <c r="AR176" s="6"/>
      <c r="AS176" s="8">
        <v>0</v>
      </c>
      <c r="AT176" s="8">
        <v>0</v>
      </c>
      <c r="AU176" s="8">
        <v>6</v>
      </c>
      <c r="AV176" s="8">
        <v>6</v>
      </c>
      <c r="AW176" s="6"/>
      <c r="AX176" s="6"/>
      <c r="AY176" s="6"/>
      <c r="AZ176" s="6"/>
      <c r="BA176" s="8">
        <v>15</v>
      </c>
      <c r="BB176" s="8">
        <v>15</v>
      </c>
      <c r="BC176" s="6"/>
      <c r="BD176" s="6"/>
      <c r="BE176" s="6"/>
      <c r="BF176" s="6"/>
      <c r="BG176" s="6"/>
      <c r="BH176" s="6"/>
      <c r="BI176" s="6"/>
      <c r="BJ176" s="6"/>
      <c r="BK176" s="6"/>
      <c r="BL176" s="8">
        <v>172.64</v>
      </c>
      <c r="BM176" s="6"/>
      <c r="BN176" s="6"/>
      <c r="BO176" s="6"/>
      <c r="BP176" s="6"/>
      <c r="BQ176" s="6"/>
      <c r="BR176" s="6"/>
      <c r="BS176" s="6"/>
      <c r="BT176" s="6"/>
      <c r="BU176" s="6"/>
      <c r="BV176" s="6"/>
      <c r="BW176" s="6"/>
      <c r="BX176" s="6"/>
      <c r="BY176" s="6"/>
      <c r="BZ176" s="6"/>
      <c r="CA176" s="6"/>
      <c r="CB176" s="6"/>
      <c r="CC176" s="6"/>
      <c r="CD176" s="6"/>
      <c r="CE176" s="6"/>
      <c r="CF176" s="6"/>
      <c r="CG176" s="9">
        <v>172.64</v>
      </c>
    </row>
    <row r="177" spans="1:85" x14ac:dyDescent="0.3">
      <c r="A177" s="3" t="str">
        <f t="shared" si="4"/>
        <v>NON ADDHomeland Security ActivitiesProtecting Critical Infrastructure &amp; Key AssetsHSA-Emergency Planning &amp; Response</v>
      </c>
      <c r="B177" s="6" t="s">
        <v>223</v>
      </c>
      <c r="C177" s="6" t="s">
        <v>248</v>
      </c>
      <c r="D177" s="6" t="s">
        <v>251</v>
      </c>
      <c r="E177" s="6" t="s">
        <v>255</v>
      </c>
      <c r="F177" s="6"/>
      <c r="G177" s="6"/>
      <c r="H177" s="6"/>
      <c r="I177" s="6"/>
      <c r="J177" s="6"/>
      <c r="K177" s="6"/>
      <c r="L177" s="6"/>
      <c r="M177" s="6"/>
      <c r="N177" s="6"/>
      <c r="O177" s="6"/>
      <c r="P177" s="6"/>
      <c r="Q177" s="6"/>
      <c r="R177" s="8">
        <v>20.9</v>
      </c>
      <c r="S177" s="8">
        <v>20.9</v>
      </c>
      <c r="T177" s="6"/>
      <c r="U177" s="6"/>
      <c r="V177" s="6"/>
      <c r="W177" s="6"/>
      <c r="X177" s="6"/>
      <c r="Y177" s="6"/>
      <c r="Z177" s="8">
        <v>23.57</v>
      </c>
      <c r="AA177" s="8">
        <v>23.57</v>
      </c>
      <c r="AB177" s="6"/>
      <c r="AC177" s="6"/>
      <c r="AD177" s="6"/>
      <c r="AE177" s="6"/>
      <c r="AF177" s="6"/>
      <c r="AG177" s="6"/>
      <c r="AH177" s="6"/>
      <c r="AI177" s="6"/>
      <c r="AJ177" s="8">
        <v>0</v>
      </c>
      <c r="AK177" s="6"/>
      <c r="AL177" s="6"/>
      <c r="AM177" s="6"/>
      <c r="AN177" s="6"/>
      <c r="AO177" s="6"/>
      <c r="AP177" s="8">
        <v>0</v>
      </c>
      <c r="AQ177" s="6"/>
      <c r="AR177" s="6"/>
      <c r="AS177" s="6"/>
      <c r="AT177" s="6"/>
      <c r="AU177" s="6"/>
      <c r="AV177" s="6"/>
      <c r="AW177" s="6"/>
      <c r="AX177" s="6"/>
      <c r="AY177" s="6"/>
      <c r="AZ177" s="6"/>
      <c r="BA177" s="8">
        <v>1.7</v>
      </c>
      <c r="BB177" s="8">
        <v>1.7</v>
      </c>
      <c r="BC177" s="6"/>
      <c r="BD177" s="6"/>
      <c r="BE177" s="6"/>
      <c r="BF177" s="6"/>
      <c r="BG177" s="6"/>
      <c r="BH177" s="6"/>
      <c r="BI177" s="6"/>
      <c r="BJ177" s="6"/>
      <c r="BK177" s="6"/>
      <c r="BL177" s="8">
        <v>46.17</v>
      </c>
      <c r="BM177" s="6"/>
      <c r="BN177" s="6"/>
      <c r="BO177" s="6"/>
      <c r="BP177" s="6"/>
      <c r="BQ177" s="6"/>
      <c r="BR177" s="6"/>
      <c r="BS177" s="6"/>
      <c r="BT177" s="6"/>
      <c r="BU177" s="6"/>
      <c r="BV177" s="6"/>
      <c r="BW177" s="6"/>
      <c r="BX177" s="6"/>
      <c r="BY177" s="6"/>
      <c r="BZ177" s="6"/>
      <c r="CA177" s="6"/>
      <c r="CB177" s="6"/>
      <c r="CC177" s="6"/>
      <c r="CD177" s="6"/>
      <c r="CE177" s="6"/>
      <c r="CF177" s="6"/>
      <c r="CG177" s="9">
        <v>46.17</v>
      </c>
    </row>
    <row r="178" spans="1:85" x14ac:dyDescent="0.3">
      <c r="A178" s="3" t="str">
        <f t="shared" si="4"/>
        <v>NON ADDHomeland Security ActivitiesProtecting Critical Infrastructure &amp; Key AssetsHSA-Energy Supply Assurance</v>
      </c>
      <c r="B178" s="6" t="s">
        <v>223</v>
      </c>
      <c r="C178" s="6" t="s">
        <v>248</v>
      </c>
      <c r="D178" s="6" t="s">
        <v>251</v>
      </c>
      <c r="E178" s="6" t="s">
        <v>256</v>
      </c>
      <c r="F178" s="6"/>
      <c r="G178" s="6"/>
      <c r="H178" s="6"/>
      <c r="I178" s="6"/>
      <c r="J178" s="6"/>
      <c r="K178" s="6"/>
      <c r="L178" s="6"/>
      <c r="M178" s="6"/>
      <c r="N178" s="6"/>
      <c r="O178" s="6"/>
      <c r="P178" s="6"/>
      <c r="Q178" s="6"/>
      <c r="R178" s="6"/>
      <c r="S178" s="6"/>
      <c r="T178" s="6"/>
      <c r="U178" s="6"/>
      <c r="V178" s="6"/>
      <c r="W178" s="6"/>
      <c r="X178" s="6"/>
      <c r="Y178" s="6"/>
      <c r="Z178" s="8">
        <v>25.71</v>
      </c>
      <c r="AA178" s="8">
        <v>25.71</v>
      </c>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
        <v>1.75</v>
      </c>
      <c r="BB178" s="8">
        <v>1.75</v>
      </c>
      <c r="BC178" s="6"/>
      <c r="BD178" s="6"/>
      <c r="BE178" s="6"/>
      <c r="BF178" s="6"/>
      <c r="BG178" s="6"/>
      <c r="BH178" s="6"/>
      <c r="BI178" s="6"/>
      <c r="BJ178" s="6"/>
      <c r="BK178" s="6"/>
      <c r="BL178" s="8">
        <v>27.46</v>
      </c>
      <c r="BM178" s="6"/>
      <c r="BN178" s="6"/>
      <c r="BO178" s="6"/>
      <c r="BP178" s="6"/>
      <c r="BQ178" s="6"/>
      <c r="BR178" s="6"/>
      <c r="BS178" s="6"/>
      <c r="BT178" s="6"/>
      <c r="BU178" s="6"/>
      <c r="BV178" s="6"/>
      <c r="BW178" s="6"/>
      <c r="BX178" s="6"/>
      <c r="BY178" s="6"/>
      <c r="BZ178" s="6"/>
      <c r="CA178" s="6"/>
      <c r="CB178" s="6"/>
      <c r="CC178" s="6"/>
      <c r="CD178" s="6"/>
      <c r="CE178" s="6"/>
      <c r="CF178" s="6"/>
      <c r="CG178" s="9">
        <v>27.46</v>
      </c>
    </row>
    <row r="179" spans="1:85" x14ac:dyDescent="0.3">
      <c r="A179" s="3" t="str">
        <f t="shared" si="4"/>
        <v>NON ADDHomeland Security ActivitiesProtecting Critical Infrastructure &amp; Key AssetsHSA-IT Security</v>
      </c>
      <c r="B179" s="6" t="s">
        <v>223</v>
      </c>
      <c r="C179" s="6" t="s">
        <v>248</v>
      </c>
      <c r="D179" s="6" t="s">
        <v>251</v>
      </c>
      <c r="E179" s="6" t="s">
        <v>257</v>
      </c>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8">
        <v>3.01</v>
      </c>
      <c r="AF179" s="6"/>
      <c r="AG179" s="6"/>
      <c r="AH179" s="8">
        <v>3.01</v>
      </c>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8">
        <v>5.86</v>
      </c>
      <c r="BG179" s="8">
        <v>5.86</v>
      </c>
      <c r="BH179" s="6"/>
      <c r="BI179" s="6"/>
      <c r="BJ179" s="6"/>
      <c r="BK179" s="6"/>
      <c r="BL179" s="8">
        <v>8.8699999999999992</v>
      </c>
      <c r="BM179" s="6"/>
      <c r="BN179" s="6"/>
      <c r="BO179" s="6"/>
      <c r="BP179" s="6"/>
      <c r="BQ179" s="8">
        <v>1</v>
      </c>
      <c r="BR179" s="8">
        <v>1</v>
      </c>
      <c r="BS179" s="8">
        <v>1</v>
      </c>
      <c r="BT179" s="6"/>
      <c r="BU179" s="6"/>
      <c r="BV179" s="6"/>
      <c r="BW179" s="6"/>
      <c r="BX179" s="8">
        <v>4.26</v>
      </c>
      <c r="BY179" s="8">
        <v>4.26</v>
      </c>
      <c r="BZ179" s="8">
        <v>4.26</v>
      </c>
      <c r="CA179" s="6"/>
      <c r="CB179" s="6"/>
      <c r="CC179" s="6"/>
      <c r="CD179" s="6"/>
      <c r="CE179" s="6"/>
      <c r="CF179" s="6"/>
      <c r="CG179" s="9">
        <v>14.13</v>
      </c>
    </row>
    <row r="180" spans="1:85" x14ac:dyDescent="0.3">
      <c r="A180" s="3" t="str">
        <f t="shared" si="4"/>
        <v>NON ADDHomeland Security ActivitiesProtecting Critical Infrastructure &amp; Key AssetsHSA-Resilient Infrastructure</v>
      </c>
      <c r="B180" s="6" t="s">
        <v>223</v>
      </c>
      <c r="C180" s="6" t="s">
        <v>248</v>
      </c>
      <c r="D180" s="6" t="s">
        <v>251</v>
      </c>
      <c r="E180" s="6" t="s">
        <v>258</v>
      </c>
      <c r="F180" s="6"/>
      <c r="G180" s="6"/>
      <c r="H180" s="6"/>
      <c r="I180" s="6"/>
      <c r="J180" s="6"/>
      <c r="K180" s="6"/>
      <c r="L180" s="6"/>
      <c r="M180" s="6"/>
      <c r="N180" s="6"/>
      <c r="O180" s="6"/>
      <c r="P180" s="6"/>
      <c r="Q180" s="6"/>
      <c r="R180" s="6"/>
      <c r="S180" s="6"/>
      <c r="T180" s="6"/>
      <c r="U180" s="6"/>
      <c r="V180" s="6"/>
      <c r="W180" s="6"/>
      <c r="X180" s="6"/>
      <c r="Y180" s="6"/>
      <c r="Z180" s="8">
        <v>96.43</v>
      </c>
      <c r="AA180" s="8">
        <v>96.43</v>
      </c>
      <c r="AB180" s="6"/>
      <c r="AC180" s="6"/>
      <c r="AD180" s="6"/>
      <c r="AE180" s="6"/>
      <c r="AF180" s="6"/>
      <c r="AG180" s="6"/>
      <c r="AH180" s="6"/>
      <c r="AI180" s="6"/>
      <c r="AJ180" s="6"/>
      <c r="AK180" s="6"/>
      <c r="AL180" s="8">
        <v>0.5</v>
      </c>
      <c r="AM180" s="6"/>
      <c r="AN180" s="6"/>
      <c r="AO180" s="6"/>
      <c r="AP180" s="8">
        <v>0.5</v>
      </c>
      <c r="AQ180" s="8">
        <v>0</v>
      </c>
      <c r="AR180" s="6"/>
      <c r="AS180" s="6"/>
      <c r="AT180" s="8">
        <v>0</v>
      </c>
      <c r="AU180" s="8">
        <v>1.5</v>
      </c>
      <c r="AV180" s="8">
        <v>1.5</v>
      </c>
      <c r="AW180" s="6"/>
      <c r="AX180" s="6"/>
      <c r="AY180" s="6"/>
      <c r="AZ180" s="6"/>
      <c r="BA180" s="8">
        <v>6.4</v>
      </c>
      <c r="BB180" s="8">
        <v>6.4</v>
      </c>
      <c r="BC180" s="6"/>
      <c r="BD180" s="6"/>
      <c r="BE180" s="6"/>
      <c r="BF180" s="6"/>
      <c r="BG180" s="6"/>
      <c r="BH180" s="6"/>
      <c r="BI180" s="6"/>
      <c r="BJ180" s="6"/>
      <c r="BK180" s="6"/>
      <c r="BL180" s="8">
        <v>104.83</v>
      </c>
      <c r="BM180" s="6"/>
      <c r="BN180" s="6"/>
      <c r="BO180" s="6"/>
      <c r="BP180" s="6"/>
      <c r="BQ180" s="6"/>
      <c r="BR180" s="6"/>
      <c r="BS180" s="6"/>
      <c r="BT180" s="6"/>
      <c r="BU180" s="6"/>
      <c r="BV180" s="6"/>
      <c r="BW180" s="6"/>
      <c r="BX180" s="6"/>
      <c r="BY180" s="6"/>
      <c r="BZ180" s="6"/>
      <c r="CA180" s="6"/>
      <c r="CB180" s="6"/>
      <c r="CC180" s="6"/>
      <c r="CD180" s="6"/>
      <c r="CE180" s="6"/>
      <c r="CF180" s="6"/>
      <c r="CG180" s="9">
        <v>104.83</v>
      </c>
    </row>
    <row r="181" spans="1:85" x14ac:dyDescent="0.3">
      <c r="A181" s="3" t="str">
        <f t="shared" si="4"/>
        <v>NON ADDHomeland Security ActivitiesProtecting Critical Infrastructure &amp; Key AssetsHSA-Scholarship for Service/Cybercorps (HSA)</v>
      </c>
      <c r="B181" s="6" t="s">
        <v>223</v>
      </c>
      <c r="C181" s="6" t="s">
        <v>248</v>
      </c>
      <c r="D181" s="6" t="s">
        <v>251</v>
      </c>
      <c r="E181" s="6" t="s">
        <v>259</v>
      </c>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8">
        <v>75</v>
      </c>
      <c r="BN181" s="6"/>
      <c r="BO181" s="6"/>
      <c r="BP181" s="6"/>
      <c r="BQ181" s="6"/>
      <c r="BR181" s="8">
        <v>75</v>
      </c>
      <c r="BS181" s="8">
        <v>75</v>
      </c>
      <c r="BT181" s="6"/>
      <c r="BU181" s="6"/>
      <c r="BV181" s="6"/>
      <c r="BW181" s="6"/>
      <c r="BX181" s="6"/>
      <c r="BY181" s="6"/>
      <c r="BZ181" s="6"/>
      <c r="CA181" s="6"/>
      <c r="CB181" s="6"/>
      <c r="CC181" s="6"/>
      <c r="CD181" s="6"/>
      <c r="CE181" s="6"/>
      <c r="CF181" s="6"/>
      <c r="CG181" s="9">
        <v>75</v>
      </c>
    </row>
    <row r="182" spans="1:85" x14ac:dyDescent="0.3">
      <c r="A182" s="3" t="str">
        <f t="shared" si="4"/>
        <v>NON ADDNSTC Crosscuts (excl. HSA)TotalTotal</v>
      </c>
      <c r="B182" s="6" t="s">
        <v>223</v>
      </c>
      <c r="C182" s="6" t="s">
        <v>260</v>
      </c>
      <c r="D182" s="6" t="s">
        <v>24</v>
      </c>
      <c r="E182" s="6" t="s">
        <v>24</v>
      </c>
      <c r="F182" s="6"/>
      <c r="G182" s="6"/>
      <c r="H182" s="6"/>
      <c r="I182" s="6"/>
      <c r="J182" s="6"/>
      <c r="K182" s="8">
        <v>359.38</v>
      </c>
      <c r="L182" s="8">
        <v>359.38</v>
      </c>
      <c r="M182" s="6"/>
      <c r="N182" s="6"/>
      <c r="O182" s="6"/>
      <c r="P182" s="6"/>
      <c r="Q182" s="8">
        <v>0</v>
      </c>
      <c r="R182" s="8">
        <v>1229.1099999999999</v>
      </c>
      <c r="S182" s="8">
        <v>1229.1099999999999</v>
      </c>
      <c r="T182" s="6"/>
      <c r="U182" s="6"/>
      <c r="V182" s="6"/>
      <c r="W182" s="6"/>
      <c r="X182" s="6"/>
      <c r="Y182" s="6"/>
      <c r="Z182" s="8">
        <v>443.9</v>
      </c>
      <c r="AA182" s="8">
        <v>443.9</v>
      </c>
      <c r="AB182" s="6"/>
      <c r="AC182" s="6"/>
      <c r="AD182" s="6"/>
      <c r="AE182" s="8">
        <v>56.11</v>
      </c>
      <c r="AF182" s="8">
        <v>33.67</v>
      </c>
      <c r="AG182" s="8">
        <v>511.7</v>
      </c>
      <c r="AH182" s="8">
        <v>601.48</v>
      </c>
      <c r="AI182" s="8">
        <v>6.14</v>
      </c>
      <c r="AJ182" s="8">
        <v>134.19999999999999</v>
      </c>
      <c r="AK182" s="8">
        <v>127.77</v>
      </c>
      <c r="AL182" s="8">
        <v>31.93</v>
      </c>
      <c r="AM182" s="8">
        <v>41.19</v>
      </c>
      <c r="AN182" s="8">
        <v>53.71</v>
      </c>
      <c r="AO182" s="8">
        <v>156.13</v>
      </c>
      <c r="AP182" s="8">
        <v>551.07000000000005</v>
      </c>
      <c r="AQ182" s="8">
        <v>0</v>
      </c>
      <c r="AR182" s="8">
        <v>0</v>
      </c>
      <c r="AS182" s="8">
        <v>0</v>
      </c>
      <c r="AT182" s="8">
        <v>0</v>
      </c>
      <c r="AU182" s="8">
        <v>56.48</v>
      </c>
      <c r="AV182" s="8">
        <v>56.48</v>
      </c>
      <c r="AW182" s="6"/>
      <c r="AX182" s="6"/>
      <c r="AY182" s="6"/>
      <c r="AZ182" s="6"/>
      <c r="BA182" s="8">
        <v>428.51</v>
      </c>
      <c r="BB182" s="8">
        <v>428.51</v>
      </c>
      <c r="BC182" s="8">
        <v>6.1</v>
      </c>
      <c r="BD182" s="8">
        <v>6.1</v>
      </c>
      <c r="BE182" s="8">
        <v>1</v>
      </c>
      <c r="BF182" s="6"/>
      <c r="BG182" s="8">
        <v>1</v>
      </c>
      <c r="BH182" s="6"/>
      <c r="BI182" s="6"/>
      <c r="BJ182" s="6"/>
      <c r="BK182" s="6"/>
      <c r="BL182" s="8">
        <v>3677.03</v>
      </c>
      <c r="BM182" s="6"/>
      <c r="BN182" s="8">
        <v>19.59</v>
      </c>
      <c r="BO182" s="8">
        <v>2.5</v>
      </c>
      <c r="BP182" s="6"/>
      <c r="BQ182" s="8">
        <v>15</v>
      </c>
      <c r="BR182" s="8">
        <v>37.090000000000003</v>
      </c>
      <c r="BS182" s="8">
        <v>37.090000000000003</v>
      </c>
      <c r="BT182" s="6"/>
      <c r="BU182" s="6"/>
      <c r="BV182" s="6"/>
      <c r="BW182" s="6"/>
      <c r="BX182" s="6"/>
      <c r="BY182" s="6"/>
      <c r="BZ182" s="6"/>
      <c r="CA182" s="6"/>
      <c r="CB182" s="6"/>
      <c r="CC182" s="6"/>
      <c r="CD182" s="6"/>
      <c r="CE182" s="6"/>
      <c r="CF182" s="6"/>
      <c r="CG182" s="9">
        <v>3714.12</v>
      </c>
    </row>
    <row r="183" spans="1:85" x14ac:dyDescent="0.3">
      <c r="A183" s="3" t="str">
        <f t="shared" si="4"/>
        <v>NON ADDNSTC Crosscuts (excl. HSA)National Nanotechnology Initiative (NNI)Total</v>
      </c>
      <c r="B183" s="6" t="s">
        <v>223</v>
      </c>
      <c r="C183" s="6" t="s">
        <v>260</v>
      </c>
      <c r="D183" s="6" t="s">
        <v>261</v>
      </c>
      <c r="E183" s="6" t="s">
        <v>24</v>
      </c>
      <c r="F183" s="6"/>
      <c r="G183" s="6"/>
      <c r="H183" s="6"/>
      <c r="I183" s="6"/>
      <c r="J183" s="6"/>
      <c r="K183" s="8">
        <v>39.950000000000003</v>
      </c>
      <c r="L183" s="8">
        <v>39.950000000000003</v>
      </c>
      <c r="M183" s="6"/>
      <c r="N183" s="6"/>
      <c r="O183" s="6"/>
      <c r="P183" s="6"/>
      <c r="Q183" s="6"/>
      <c r="R183" s="8">
        <v>14.05</v>
      </c>
      <c r="S183" s="8">
        <v>14.05</v>
      </c>
      <c r="T183" s="6"/>
      <c r="U183" s="6"/>
      <c r="V183" s="6"/>
      <c r="W183" s="6"/>
      <c r="X183" s="6"/>
      <c r="Y183" s="6"/>
      <c r="Z183" s="8">
        <v>231.75</v>
      </c>
      <c r="AA183" s="8">
        <v>231.75</v>
      </c>
      <c r="AB183" s="6"/>
      <c r="AC183" s="6"/>
      <c r="AD183" s="6"/>
      <c r="AE183" s="6"/>
      <c r="AF183" s="8">
        <v>0</v>
      </c>
      <c r="AG183" s="6"/>
      <c r="AH183" s="8">
        <v>0</v>
      </c>
      <c r="AI183" s="6"/>
      <c r="AJ183" s="8">
        <v>45.5</v>
      </c>
      <c r="AK183" s="8">
        <v>78.5</v>
      </c>
      <c r="AL183" s="8">
        <v>0.5</v>
      </c>
      <c r="AM183" s="8">
        <v>0</v>
      </c>
      <c r="AN183" s="8">
        <v>9</v>
      </c>
      <c r="AO183" s="8">
        <v>0</v>
      </c>
      <c r="AP183" s="8">
        <v>133.5</v>
      </c>
      <c r="AQ183" s="8">
        <v>0</v>
      </c>
      <c r="AR183" s="6"/>
      <c r="AS183" s="6"/>
      <c r="AT183" s="8">
        <v>0</v>
      </c>
      <c r="AU183" s="8">
        <v>0.4</v>
      </c>
      <c r="AV183" s="8">
        <v>0.4</v>
      </c>
      <c r="AW183" s="6"/>
      <c r="AX183" s="6"/>
      <c r="AY183" s="6"/>
      <c r="AZ183" s="6"/>
      <c r="BA183" s="8">
        <v>10.050000000000001</v>
      </c>
      <c r="BB183" s="8">
        <v>10.050000000000001</v>
      </c>
      <c r="BC183" s="8">
        <v>0.1</v>
      </c>
      <c r="BD183" s="8">
        <v>0.1</v>
      </c>
      <c r="BE183" s="6"/>
      <c r="BF183" s="6"/>
      <c r="BG183" s="6"/>
      <c r="BH183" s="6"/>
      <c r="BI183" s="6"/>
      <c r="BJ183" s="6"/>
      <c r="BK183" s="6"/>
      <c r="BL183" s="8">
        <v>429.8</v>
      </c>
      <c r="BM183" s="6"/>
      <c r="BN183" s="6"/>
      <c r="BO183" s="8">
        <v>2.5</v>
      </c>
      <c r="BP183" s="6"/>
      <c r="BQ183" s="8">
        <v>0</v>
      </c>
      <c r="BR183" s="8">
        <v>2.5</v>
      </c>
      <c r="BS183" s="8">
        <v>2.5</v>
      </c>
      <c r="BT183" s="6"/>
      <c r="BU183" s="6"/>
      <c r="BV183" s="6"/>
      <c r="BW183" s="6"/>
      <c r="BX183" s="6"/>
      <c r="BY183" s="6"/>
      <c r="BZ183" s="6"/>
      <c r="CA183" s="6"/>
      <c r="CB183" s="6"/>
      <c r="CC183" s="6"/>
      <c r="CD183" s="6"/>
      <c r="CE183" s="6"/>
      <c r="CF183" s="6"/>
      <c r="CG183" s="9">
        <v>432.3</v>
      </c>
    </row>
    <row r="184" spans="1:85" x14ac:dyDescent="0.3">
      <c r="A184" s="3" t="str">
        <f t="shared" si="4"/>
        <v>NON ADDNSTC Crosscuts (excl. HSA)National Nanotechnology Initiative (NNI)NNI-Education and Workforce Development</v>
      </c>
      <c r="B184" s="6" t="s">
        <v>223</v>
      </c>
      <c r="C184" s="6" t="s">
        <v>260</v>
      </c>
      <c r="D184" s="6" t="s">
        <v>261</v>
      </c>
      <c r="E184" s="6" t="s">
        <v>262</v>
      </c>
      <c r="F184" s="6"/>
      <c r="G184" s="6"/>
      <c r="H184" s="6"/>
      <c r="I184" s="6"/>
      <c r="J184" s="6"/>
      <c r="K184" s="6"/>
      <c r="L184" s="6"/>
      <c r="M184" s="6"/>
      <c r="N184" s="6"/>
      <c r="O184" s="6"/>
      <c r="P184" s="6"/>
      <c r="Q184" s="6"/>
      <c r="R184" s="6"/>
      <c r="S184" s="6"/>
      <c r="T184" s="6"/>
      <c r="U184" s="6"/>
      <c r="V184" s="6"/>
      <c r="W184" s="6"/>
      <c r="X184" s="6"/>
      <c r="Y184" s="6"/>
      <c r="Z184" s="8">
        <v>20</v>
      </c>
      <c r="AA184" s="8">
        <v>20</v>
      </c>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8">
        <v>20</v>
      </c>
      <c r="BM184" s="6"/>
      <c r="BN184" s="6"/>
      <c r="BO184" s="8">
        <v>1.5</v>
      </c>
      <c r="BP184" s="6"/>
      <c r="BQ184" s="6"/>
      <c r="BR184" s="8">
        <v>1.5</v>
      </c>
      <c r="BS184" s="8">
        <v>1.5</v>
      </c>
      <c r="BT184" s="6"/>
      <c r="BU184" s="6"/>
      <c r="BV184" s="6"/>
      <c r="BW184" s="6"/>
      <c r="BX184" s="6"/>
      <c r="BY184" s="6"/>
      <c r="BZ184" s="6"/>
      <c r="CA184" s="6"/>
      <c r="CB184" s="6"/>
      <c r="CC184" s="6"/>
      <c r="CD184" s="6"/>
      <c r="CE184" s="6"/>
      <c r="CF184" s="6"/>
      <c r="CG184" s="9">
        <v>21.5</v>
      </c>
    </row>
    <row r="185" spans="1:85" x14ac:dyDescent="0.3">
      <c r="A185" s="3" t="str">
        <f t="shared" si="4"/>
        <v>NON ADDNSTC Crosscuts (excl. HSA)National Nanotechnology Initiative (NNI)NNI-Foundational Research</v>
      </c>
      <c r="B185" s="6" t="s">
        <v>223</v>
      </c>
      <c r="C185" s="6" t="s">
        <v>260</v>
      </c>
      <c r="D185" s="6" t="s">
        <v>261</v>
      </c>
      <c r="E185" s="6" t="s">
        <v>263</v>
      </c>
      <c r="F185" s="6"/>
      <c r="G185" s="6"/>
      <c r="H185" s="6"/>
      <c r="I185" s="6"/>
      <c r="J185" s="6"/>
      <c r="K185" s="8">
        <v>37.6</v>
      </c>
      <c r="L185" s="8">
        <v>37.6</v>
      </c>
      <c r="M185" s="6"/>
      <c r="N185" s="6"/>
      <c r="O185" s="6"/>
      <c r="P185" s="6"/>
      <c r="Q185" s="6"/>
      <c r="R185" s="8">
        <v>9.1999999999999993</v>
      </c>
      <c r="S185" s="8">
        <v>9.1999999999999993</v>
      </c>
      <c r="T185" s="6"/>
      <c r="U185" s="6"/>
      <c r="V185" s="6"/>
      <c r="W185" s="6"/>
      <c r="X185" s="6"/>
      <c r="Y185" s="6"/>
      <c r="Z185" s="8">
        <v>97</v>
      </c>
      <c r="AA185" s="8">
        <v>97</v>
      </c>
      <c r="AB185" s="6"/>
      <c r="AC185" s="6"/>
      <c r="AD185" s="6"/>
      <c r="AE185" s="6"/>
      <c r="AF185" s="6"/>
      <c r="AG185" s="6"/>
      <c r="AH185" s="6"/>
      <c r="AI185" s="6"/>
      <c r="AJ185" s="8">
        <v>33</v>
      </c>
      <c r="AK185" s="8">
        <v>71</v>
      </c>
      <c r="AL185" s="8">
        <v>0.5</v>
      </c>
      <c r="AM185" s="8">
        <v>0</v>
      </c>
      <c r="AN185" s="8">
        <v>9</v>
      </c>
      <c r="AO185" s="8">
        <v>0</v>
      </c>
      <c r="AP185" s="8">
        <v>113.5</v>
      </c>
      <c r="AQ185" s="8">
        <v>0</v>
      </c>
      <c r="AR185" s="6"/>
      <c r="AS185" s="6"/>
      <c r="AT185" s="8">
        <v>0</v>
      </c>
      <c r="AU185" s="6"/>
      <c r="AV185" s="8">
        <v>0</v>
      </c>
      <c r="AW185" s="6"/>
      <c r="AX185" s="6"/>
      <c r="AY185" s="6"/>
      <c r="AZ185" s="6"/>
      <c r="BA185" s="8">
        <v>4</v>
      </c>
      <c r="BB185" s="8">
        <v>4</v>
      </c>
      <c r="BC185" s="6"/>
      <c r="BD185" s="6"/>
      <c r="BE185" s="6"/>
      <c r="BF185" s="6"/>
      <c r="BG185" s="6"/>
      <c r="BH185" s="6"/>
      <c r="BI185" s="6"/>
      <c r="BJ185" s="6"/>
      <c r="BK185" s="6"/>
      <c r="BL185" s="8">
        <v>261.3</v>
      </c>
      <c r="BM185" s="6"/>
      <c r="BN185" s="6"/>
      <c r="BO185" s="6"/>
      <c r="BP185" s="6"/>
      <c r="BQ185" s="6"/>
      <c r="BR185" s="6"/>
      <c r="BS185" s="6"/>
      <c r="BT185" s="6"/>
      <c r="BU185" s="6"/>
      <c r="BV185" s="6"/>
      <c r="BW185" s="6"/>
      <c r="BX185" s="6"/>
      <c r="BY185" s="6"/>
      <c r="BZ185" s="6"/>
      <c r="CA185" s="6"/>
      <c r="CB185" s="6"/>
      <c r="CC185" s="6"/>
      <c r="CD185" s="6"/>
      <c r="CE185" s="6"/>
      <c r="CF185" s="6"/>
      <c r="CG185" s="9">
        <v>261.3</v>
      </c>
    </row>
    <row r="186" spans="1:85" x14ac:dyDescent="0.3">
      <c r="A186" s="3" t="str">
        <f t="shared" si="4"/>
        <v>NON ADDNSTC Crosscuts (excl. HSA)National Nanotechnology Initiative (NNI)NNI-Nanotechnology-Enabled Applications, Devices, and Systems</v>
      </c>
      <c r="B186" s="6" t="s">
        <v>223</v>
      </c>
      <c r="C186" s="6" t="s">
        <v>260</v>
      </c>
      <c r="D186" s="6" t="s">
        <v>261</v>
      </c>
      <c r="E186" s="6" t="s">
        <v>264</v>
      </c>
      <c r="F186" s="6"/>
      <c r="G186" s="6"/>
      <c r="H186" s="6"/>
      <c r="I186" s="6"/>
      <c r="J186" s="6"/>
      <c r="K186" s="6"/>
      <c r="L186" s="6"/>
      <c r="M186" s="6"/>
      <c r="N186" s="6"/>
      <c r="O186" s="6"/>
      <c r="P186" s="6"/>
      <c r="Q186" s="6"/>
      <c r="R186" s="8">
        <v>3.95</v>
      </c>
      <c r="S186" s="8">
        <v>3.95</v>
      </c>
      <c r="T186" s="6"/>
      <c r="U186" s="6"/>
      <c r="V186" s="6"/>
      <c r="W186" s="6"/>
      <c r="X186" s="6"/>
      <c r="Y186" s="6"/>
      <c r="Z186" s="8">
        <v>87</v>
      </c>
      <c r="AA186" s="8">
        <v>87</v>
      </c>
      <c r="AB186" s="6"/>
      <c r="AC186" s="6"/>
      <c r="AD186" s="6"/>
      <c r="AE186" s="6"/>
      <c r="AF186" s="6"/>
      <c r="AG186" s="6"/>
      <c r="AH186" s="6"/>
      <c r="AI186" s="6"/>
      <c r="AJ186" s="8">
        <v>3.5</v>
      </c>
      <c r="AK186" s="8">
        <v>2</v>
      </c>
      <c r="AL186" s="6"/>
      <c r="AM186" s="8">
        <v>0</v>
      </c>
      <c r="AN186" s="6"/>
      <c r="AO186" s="6"/>
      <c r="AP186" s="8">
        <v>5.5</v>
      </c>
      <c r="AQ186" s="6"/>
      <c r="AR186" s="6"/>
      <c r="AS186" s="6"/>
      <c r="AT186" s="6"/>
      <c r="AU186" s="6"/>
      <c r="AV186" s="6"/>
      <c r="AW186" s="6"/>
      <c r="AX186" s="6"/>
      <c r="AY186" s="6"/>
      <c r="AZ186" s="6"/>
      <c r="BA186" s="8">
        <v>4.5199999999999996</v>
      </c>
      <c r="BB186" s="8">
        <v>4.5199999999999996</v>
      </c>
      <c r="BC186" s="6"/>
      <c r="BD186" s="6"/>
      <c r="BE186" s="6"/>
      <c r="BF186" s="6"/>
      <c r="BG186" s="6"/>
      <c r="BH186" s="6"/>
      <c r="BI186" s="6"/>
      <c r="BJ186" s="6"/>
      <c r="BK186" s="6"/>
      <c r="BL186" s="8">
        <v>100.97</v>
      </c>
      <c r="BM186" s="6"/>
      <c r="BN186" s="6"/>
      <c r="BO186" s="6"/>
      <c r="BP186" s="6"/>
      <c r="BQ186" s="6"/>
      <c r="BR186" s="6"/>
      <c r="BS186" s="6"/>
      <c r="BT186" s="6"/>
      <c r="BU186" s="6"/>
      <c r="BV186" s="6"/>
      <c r="BW186" s="6"/>
      <c r="BX186" s="6"/>
      <c r="BY186" s="6"/>
      <c r="BZ186" s="6"/>
      <c r="CA186" s="6"/>
      <c r="CB186" s="6"/>
      <c r="CC186" s="6"/>
      <c r="CD186" s="6"/>
      <c r="CE186" s="6"/>
      <c r="CF186" s="6"/>
      <c r="CG186" s="9">
        <v>100.97</v>
      </c>
    </row>
    <row r="187" spans="1:85" x14ac:dyDescent="0.3">
      <c r="A187" s="3" t="str">
        <f t="shared" si="4"/>
        <v>NON ADDNSTC Crosscuts (excl. HSA)National Nanotechnology Initiative (NNI)NNI-Research Infrastructure and Instrumentation</v>
      </c>
      <c r="B187" s="6" t="s">
        <v>223</v>
      </c>
      <c r="C187" s="6" t="s">
        <v>260</v>
      </c>
      <c r="D187" s="6" t="s">
        <v>261</v>
      </c>
      <c r="E187" s="6" t="s">
        <v>265</v>
      </c>
      <c r="F187" s="6"/>
      <c r="G187" s="6"/>
      <c r="H187" s="6"/>
      <c r="I187" s="6"/>
      <c r="J187" s="6"/>
      <c r="K187" s="8">
        <v>2.35</v>
      </c>
      <c r="L187" s="8">
        <v>2.35</v>
      </c>
      <c r="M187" s="6"/>
      <c r="N187" s="6"/>
      <c r="O187" s="6"/>
      <c r="P187" s="6"/>
      <c r="Q187" s="6"/>
      <c r="R187" s="8">
        <v>0.9</v>
      </c>
      <c r="S187" s="8">
        <v>0.9</v>
      </c>
      <c r="T187" s="6"/>
      <c r="U187" s="6"/>
      <c r="V187" s="6"/>
      <c r="W187" s="6"/>
      <c r="X187" s="6"/>
      <c r="Y187" s="6"/>
      <c r="Z187" s="8">
        <v>13</v>
      </c>
      <c r="AA187" s="8">
        <v>13</v>
      </c>
      <c r="AB187" s="6"/>
      <c r="AC187" s="6"/>
      <c r="AD187" s="6"/>
      <c r="AE187" s="6"/>
      <c r="AF187" s="8">
        <v>0</v>
      </c>
      <c r="AG187" s="6"/>
      <c r="AH187" s="8">
        <v>0</v>
      </c>
      <c r="AI187" s="6"/>
      <c r="AJ187" s="8">
        <v>3</v>
      </c>
      <c r="AK187" s="8">
        <v>5</v>
      </c>
      <c r="AL187" s="6"/>
      <c r="AM187" s="6"/>
      <c r="AN187" s="8">
        <v>0</v>
      </c>
      <c r="AO187" s="6"/>
      <c r="AP187" s="8">
        <v>8</v>
      </c>
      <c r="AQ187" s="6"/>
      <c r="AR187" s="6"/>
      <c r="AS187" s="6"/>
      <c r="AT187" s="8">
        <v>0</v>
      </c>
      <c r="AU187" s="8">
        <v>0.4</v>
      </c>
      <c r="AV187" s="8">
        <v>0.4</v>
      </c>
      <c r="AW187" s="6"/>
      <c r="AX187" s="6"/>
      <c r="AY187" s="6"/>
      <c r="AZ187" s="6"/>
      <c r="BA187" s="8">
        <v>0.93</v>
      </c>
      <c r="BB187" s="8">
        <v>0.93</v>
      </c>
      <c r="BC187" s="8">
        <v>0.1</v>
      </c>
      <c r="BD187" s="8">
        <v>0.1</v>
      </c>
      <c r="BE187" s="6"/>
      <c r="BF187" s="6"/>
      <c r="BG187" s="6"/>
      <c r="BH187" s="6"/>
      <c r="BI187" s="6"/>
      <c r="BJ187" s="6"/>
      <c r="BK187" s="6"/>
      <c r="BL187" s="8">
        <v>25.68</v>
      </c>
      <c r="BM187" s="6"/>
      <c r="BN187" s="6"/>
      <c r="BO187" s="8">
        <v>1</v>
      </c>
      <c r="BP187" s="6"/>
      <c r="BQ187" s="8">
        <v>0</v>
      </c>
      <c r="BR187" s="8">
        <v>1</v>
      </c>
      <c r="BS187" s="8">
        <v>1</v>
      </c>
      <c r="BT187" s="6"/>
      <c r="BU187" s="6"/>
      <c r="BV187" s="6"/>
      <c r="BW187" s="6"/>
      <c r="BX187" s="6"/>
      <c r="BY187" s="6"/>
      <c r="BZ187" s="6"/>
      <c r="CA187" s="6"/>
      <c r="CB187" s="6"/>
      <c r="CC187" s="6"/>
      <c r="CD187" s="6"/>
      <c r="CE187" s="6"/>
      <c r="CF187" s="6"/>
      <c r="CG187" s="9">
        <v>26.68</v>
      </c>
    </row>
    <row r="188" spans="1:85" x14ac:dyDescent="0.3">
      <c r="A188" s="3" t="str">
        <f t="shared" si="4"/>
        <v>NON ADDNSTC Crosscuts (excl. HSA)National Nanotechnology Initiative (NNI)NNI-Responsible Development</v>
      </c>
      <c r="B188" s="6" t="s">
        <v>223</v>
      </c>
      <c r="C188" s="6" t="s">
        <v>260</v>
      </c>
      <c r="D188" s="6" t="s">
        <v>261</v>
      </c>
      <c r="E188" s="6" t="s">
        <v>266</v>
      </c>
      <c r="F188" s="6"/>
      <c r="G188" s="6"/>
      <c r="H188" s="6"/>
      <c r="I188" s="6"/>
      <c r="J188" s="6"/>
      <c r="K188" s="6"/>
      <c r="L188" s="6"/>
      <c r="M188" s="6"/>
      <c r="N188" s="6"/>
      <c r="O188" s="6"/>
      <c r="P188" s="6"/>
      <c r="Q188" s="6"/>
      <c r="R188" s="6"/>
      <c r="S188" s="6"/>
      <c r="T188" s="6"/>
      <c r="U188" s="6"/>
      <c r="V188" s="6"/>
      <c r="W188" s="6"/>
      <c r="X188" s="6"/>
      <c r="Y188" s="6"/>
      <c r="Z188" s="8">
        <v>14.75</v>
      </c>
      <c r="AA188" s="8">
        <v>14.75</v>
      </c>
      <c r="AB188" s="6"/>
      <c r="AC188" s="6"/>
      <c r="AD188" s="6"/>
      <c r="AE188" s="6"/>
      <c r="AF188" s="6"/>
      <c r="AG188" s="6"/>
      <c r="AH188" s="6"/>
      <c r="AI188" s="6"/>
      <c r="AJ188" s="8">
        <v>6</v>
      </c>
      <c r="AK188" s="8">
        <v>0.5</v>
      </c>
      <c r="AL188" s="6"/>
      <c r="AM188" s="6"/>
      <c r="AN188" s="6"/>
      <c r="AO188" s="6"/>
      <c r="AP188" s="8">
        <v>6.5</v>
      </c>
      <c r="AQ188" s="6"/>
      <c r="AR188" s="6"/>
      <c r="AS188" s="6"/>
      <c r="AT188" s="6"/>
      <c r="AU188" s="6"/>
      <c r="AV188" s="6"/>
      <c r="AW188" s="6"/>
      <c r="AX188" s="6"/>
      <c r="AY188" s="6"/>
      <c r="AZ188" s="6"/>
      <c r="BA188" s="8">
        <v>0.6</v>
      </c>
      <c r="BB188" s="8">
        <v>0.6</v>
      </c>
      <c r="BC188" s="6"/>
      <c r="BD188" s="6"/>
      <c r="BE188" s="6"/>
      <c r="BF188" s="6"/>
      <c r="BG188" s="6"/>
      <c r="BH188" s="6"/>
      <c r="BI188" s="6"/>
      <c r="BJ188" s="6"/>
      <c r="BK188" s="6"/>
      <c r="BL188" s="8">
        <v>21.85</v>
      </c>
      <c r="BM188" s="6"/>
      <c r="BN188" s="6"/>
      <c r="BO188" s="6"/>
      <c r="BP188" s="6"/>
      <c r="BQ188" s="6"/>
      <c r="BR188" s="6"/>
      <c r="BS188" s="6"/>
      <c r="BT188" s="6"/>
      <c r="BU188" s="6"/>
      <c r="BV188" s="6"/>
      <c r="BW188" s="6"/>
      <c r="BX188" s="6"/>
      <c r="BY188" s="6"/>
      <c r="BZ188" s="6"/>
      <c r="CA188" s="6"/>
      <c r="CB188" s="6"/>
      <c r="CC188" s="6"/>
      <c r="CD188" s="6"/>
      <c r="CE188" s="6"/>
      <c r="CF188" s="6"/>
      <c r="CG188" s="9">
        <v>21.85</v>
      </c>
    </row>
    <row r="189" spans="1:85" x14ac:dyDescent="0.3">
      <c r="A189" s="3" t="str">
        <f t="shared" si="4"/>
        <v>NON ADDNSTC Crosscuts (excl. HSA)Networking &amp; Information Technology R&amp;D (NITRD)Total</v>
      </c>
      <c r="B189" s="6" t="s">
        <v>223</v>
      </c>
      <c r="C189" s="6" t="s">
        <v>260</v>
      </c>
      <c r="D189" s="6" t="s">
        <v>267</v>
      </c>
      <c r="E189" s="6" t="s">
        <v>24</v>
      </c>
      <c r="F189" s="6"/>
      <c r="G189" s="6"/>
      <c r="H189" s="6"/>
      <c r="I189" s="6"/>
      <c r="J189" s="6"/>
      <c r="K189" s="8">
        <v>79</v>
      </c>
      <c r="L189" s="8">
        <v>79</v>
      </c>
      <c r="M189" s="6"/>
      <c r="N189" s="6"/>
      <c r="O189" s="6"/>
      <c r="P189" s="6"/>
      <c r="Q189" s="8">
        <v>0</v>
      </c>
      <c r="R189" s="8">
        <v>1150.78</v>
      </c>
      <c r="S189" s="8">
        <v>1150.78</v>
      </c>
      <c r="T189" s="6"/>
      <c r="U189" s="6"/>
      <c r="V189" s="6"/>
      <c r="W189" s="6"/>
      <c r="X189" s="6"/>
      <c r="Y189" s="6"/>
      <c r="Z189" s="8">
        <v>179.26</v>
      </c>
      <c r="AA189" s="8">
        <v>179.26</v>
      </c>
      <c r="AB189" s="6"/>
      <c r="AC189" s="6"/>
      <c r="AD189" s="6"/>
      <c r="AE189" s="6"/>
      <c r="AF189" s="6"/>
      <c r="AG189" s="8">
        <v>30</v>
      </c>
      <c r="AH189" s="8">
        <v>30</v>
      </c>
      <c r="AI189" s="8">
        <v>6.14</v>
      </c>
      <c r="AJ189" s="8">
        <v>77</v>
      </c>
      <c r="AK189" s="8">
        <v>49.27</v>
      </c>
      <c r="AL189" s="8">
        <v>28.5</v>
      </c>
      <c r="AM189" s="8">
        <v>21.19</v>
      </c>
      <c r="AN189" s="8">
        <v>44.71</v>
      </c>
      <c r="AO189" s="6"/>
      <c r="AP189" s="8">
        <v>226.81</v>
      </c>
      <c r="AQ189" s="8">
        <v>0</v>
      </c>
      <c r="AR189" s="8">
        <v>0</v>
      </c>
      <c r="AS189" s="8">
        <v>0</v>
      </c>
      <c r="AT189" s="8">
        <v>0</v>
      </c>
      <c r="AU189" s="8">
        <v>30.94</v>
      </c>
      <c r="AV189" s="8">
        <v>30.94</v>
      </c>
      <c r="AW189" s="6"/>
      <c r="AX189" s="6"/>
      <c r="AY189" s="6"/>
      <c r="AZ189" s="6"/>
      <c r="BA189" s="8">
        <v>380.04</v>
      </c>
      <c r="BB189" s="8">
        <v>380.04</v>
      </c>
      <c r="BC189" s="6"/>
      <c r="BD189" s="6"/>
      <c r="BE189" s="8">
        <v>1</v>
      </c>
      <c r="BF189" s="6"/>
      <c r="BG189" s="8">
        <v>1</v>
      </c>
      <c r="BH189" s="6"/>
      <c r="BI189" s="6"/>
      <c r="BJ189" s="6"/>
      <c r="BK189" s="6"/>
      <c r="BL189" s="8">
        <v>2077.83</v>
      </c>
      <c r="BM189" s="6"/>
      <c r="BN189" s="8">
        <v>19.59</v>
      </c>
      <c r="BO189" s="6"/>
      <c r="BP189" s="6"/>
      <c r="BQ189" s="8">
        <v>10</v>
      </c>
      <c r="BR189" s="8">
        <v>29.59</v>
      </c>
      <c r="BS189" s="8">
        <v>29.59</v>
      </c>
      <c r="BT189" s="6"/>
      <c r="BU189" s="6"/>
      <c r="BV189" s="6"/>
      <c r="BW189" s="6"/>
      <c r="BX189" s="6"/>
      <c r="BY189" s="6"/>
      <c r="BZ189" s="6"/>
      <c r="CA189" s="6"/>
      <c r="CB189" s="6"/>
      <c r="CC189" s="6"/>
      <c r="CD189" s="6"/>
      <c r="CE189" s="6"/>
      <c r="CF189" s="6"/>
      <c r="CG189" s="9">
        <v>2107.42</v>
      </c>
    </row>
    <row r="190" spans="1:85" x14ac:dyDescent="0.3">
      <c r="A190" s="3" t="str">
        <f t="shared" si="4"/>
        <v>NON ADDNSTC Crosscuts (excl. HSA)Networking &amp; Information Technology R&amp;D (NITRD)NITRD-ACNS-Advanced Communication Networks and Systems</v>
      </c>
      <c r="B190" s="6" t="s">
        <v>223</v>
      </c>
      <c r="C190" s="6" t="s">
        <v>260</v>
      </c>
      <c r="D190" s="6" t="s">
        <v>267</v>
      </c>
      <c r="E190" s="6" t="s">
        <v>268</v>
      </c>
      <c r="F190" s="6"/>
      <c r="G190" s="6"/>
      <c r="H190" s="6"/>
      <c r="I190" s="6"/>
      <c r="J190" s="6"/>
      <c r="K190" s="6"/>
      <c r="L190" s="6"/>
      <c r="M190" s="6"/>
      <c r="N190" s="6"/>
      <c r="O190" s="6"/>
      <c r="P190" s="6"/>
      <c r="Q190" s="8">
        <v>0</v>
      </c>
      <c r="R190" s="8">
        <v>148.34</v>
      </c>
      <c r="S190" s="8">
        <v>148.34</v>
      </c>
      <c r="T190" s="6"/>
      <c r="U190" s="6"/>
      <c r="V190" s="6"/>
      <c r="W190" s="6"/>
      <c r="X190" s="6"/>
      <c r="Y190" s="6"/>
      <c r="Z190" s="8">
        <v>28.01</v>
      </c>
      <c r="AA190" s="8">
        <v>28.01</v>
      </c>
      <c r="AB190" s="6"/>
      <c r="AC190" s="6"/>
      <c r="AD190" s="6"/>
      <c r="AE190" s="6"/>
      <c r="AF190" s="6"/>
      <c r="AG190" s="6"/>
      <c r="AH190" s="6"/>
      <c r="AI190" s="6"/>
      <c r="AJ190" s="6"/>
      <c r="AK190" s="6"/>
      <c r="AL190" s="6"/>
      <c r="AM190" s="8">
        <v>17</v>
      </c>
      <c r="AN190" s="6"/>
      <c r="AO190" s="6"/>
      <c r="AP190" s="8">
        <v>17</v>
      </c>
      <c r="AQ190" s="6"/>
      <c r="AR190" s="6"/>
      <c r="AS190" s="6"/>
      <c r="AT190" s="6"/>
      <c r="AU190" s="8">
        <v>0</v>
      </c>
      <c r="AV190" s="8">
        <v>0</v>
      </c>
      <c r="AW190" s="6"/>
      <c r="AX190" s="6"/>
      <c r="AY190" s="6"/>
      <c r="AZ190" s="6"/>
      <c r="BA190" s="8">
        <v>28.05</v>
      </c>
      <c r="BB190" s="8">
        <v>28.05</v>
      </c>
      <c r="BC190" s="6"/>
      <c r="BD190" s="6"/>
      <c r="BE190" s="6"/>
      <c r="BF190" s="6"/>
      <c r="BG190" s="6"/>
      <c r="BH190" s="6"/>
      <c r="BI190" s="6"/>
      <c r="BJ190" s="6"/>
      <c r="BK190" s="6"/>
      <c r="BL190" s="8">
        <v>221.4</v>
      </c>
      <c r="BM190" s="6"/>
      <c r="BN190" s="6"/>
      <c r="BO190" s="6"/>
      <c r="BP190" s="6"/>
      <c r="BQ190" s="6"/>
      <c r="BR190" s="6"/>
      <c r="BS190" s="6"/>
      <c r="BT190" s="6"/>
      <c r="BU190" s="6"/>
      <c r="BV190" s="6"/>
      <c r="BW190" s="6"/>
      <c r="BX190" s="6"/>
      <c r="BY190" s="6"/>
      <c r="BZ190" s="6"/>
      <c r="CA190" s="6"/>
      <c r="CB190" s="6"/>
      <c r="CC190" s="6"/>
      <c r="CD190" s="6"/>
      <c r="CE190" s="6"/>
      <c r="CF190" s="6"/>
      <c r="CG190" s="9">
        <v>221.4</v>
      </c>
    </row>
    <row r="191" spans="1:85" x14ac:dyDescent="0.3">
      <c r="A191" s="3" t="str">
        <f t="shared" si="4"/>
        <v>NON ADDNSTC Crosscuts (excl. HSA)Networking &amp; Information Technology R&amp;D (NITRD)NITRD-AI-Artificial Intelligence</v>
      </c>
      <c r="B191" s="6" t="s">
        <v>223</v>
      </c>
      <c r="C191" s="6" t="s">
        <v>260</v>
      </c>
      <c r="D191" s="6" t="s">
        <v>267</v>
      </c>
      <c r="E191" s="6" t="s">
        <v>269</v>
      </c>
      <c r="F191" s="6"/>
      <c r="G191" s="6"/>
      <c r="H191" s="6"/>
      <c r="I191" s="6"/>
      <c r="J191" s="6"/>
      <c r="K191" s="8">
        <v>12</v>
      </c>
      <c r="L191" s="8">
        <v>12</v>
      </c>
      <c r="M191" s="6"/>
      <c r="N191" s="6"/>
      <c r="O191" s="6"/>
      <c r="P191" s="6"/>
      <c r="Q191" s="6"/>
      <c r="R191" s="8">
        <v>189.14</v>
      </c>
      <c r="S191" s="8">
        <v>189.14</v>
      </c>
      <c r="T191" s="6"/>
      <c r="U191" s="6"/>
      <c r="V191" s="6"/>
      <c r="W191" s="6"/>
      <c r="X191" s="6"/>
      <c r="Y191" s="6"/>
      <c r="Z191" s="8">
        <v>87.34</v>
      </c>
      <c r="AA191" s="8">
        <v>87.34</v>
      </c>
      <c r="AB191" s="6"/>
      <c r="AC191" s="6"/>
      <c r="AD191" s="6"/>
      <c r="AE191" s="6"/>
      <c r="AF191" s="6"/>
      <c r="AG191" s="8">
        <v>5</v>
      </c>
      <c r="AH191" s="8">
        <v>5</v>
      </c>
      <c r="AI191" s="8">
        <v>1</v>
      </c>
      <c r="AJ191" s="8">
        <v>10</v>
      </c>
      <c r="AK191" s="8">
        <v>17.77</v>
      </c>
      <c r="AL191" s="8">
        <v>18</v>
      </c>
      <c r="AM191" s="8">
        <v>4.1900000000000004</v>
      </c>
      <c r="AN191" s="8">
        <v>20.71</v>
      </c>
      <c r="AO191" s="6"/>
      <c r="AP191" s="8">
        <v>71.67</v>
      </c>
      <c r="AQ191" s="6"/>
      <c r="AR191" s="6"/>
      <c r="AS191" s="6"/>
      <c r="AT191" s="6"/>
      <c r="AU191" s="8">
        <v>3.87</v>
      </c>
      <c r="AV191" s="8">
        <v>3.87</v>
      </c>
      <c r="AW191" s="6"/>
      <c r="AX191" s="6"/>
      <c r="AY191" s="6"/>
      <c r="AZ191" s="6"/>
      <c r="BA191" s="8">
        <v>101.55</v>
      </c>
      <c r="BB191" s="8">
        <v>101.55</v>
      </c>
      <c r="BC191" s="6"/>
      <c r="BD191" s="6"/>
      <c r="BE191" s="8">
        <v>1</v>
      </c>
      <c r="BF191" s="6"/>
      <c r="BG191" s="8">
        <v>1</v>
      </c>
      <c r="BH191" s="6"/>
      <c r="BI191" s="6"/>
      <c r="BJ191" s="6"/>
      <c r="BK191" s="6"/>
      <c r="BL191" s="8">
        <v>471.57</v>
      </c>
      <c r="BM191" s="6"/>
      <c r="BN191" s="8">
        <v>19.59</v>
      </c>
      <c r="BO191" s="6"/>
      <c r="BP191" s="6"/>
      <c r="BQ191" s="6"/>
      <c r="BR191" s="8">
        <v>19.59</v>
      </c>
      <c r="BS191" s="8">
        <v>19.59</v>
      </c>
      <c r="BT191" s="6"/>
      <c r="BU191" s="6"/>
      <c r="BV191" s="6"/>
      <c r="BW191" s="6"/>
      <c r="BX191" s="6"/>
      <c r="BY191" s="6"/>
      <c r="BZ191" s="6"/>
      <c r="CA191" s="6"/>
      <c r="CB191" s="6"/>
      <c r="CC191" s="6"/>
      <c r="CD191" s="6"/>
      <c r="CE191" s="6"/>
      <c r="CF191" s="6"/>
      <c r="CG191" s="9">
        <v>491.16</v>
      </c>
    </row>
    <row r="192" spans="1:85" x14ac:dyDescent="0.3">
      <c r="A192" s="3" t="str">
        <f t="shared" si="4"/>
        <v>NON ADDNSTC Crosscuts (excl. HSA)Networking &amp; Information Technology R&amp;D (NITRD)NITRD-C-HUMAN-Computing-Enabled Human Interaction, Communications, Augmentation</v>
      </c>
      <c r="B192" s="6" t="s">
        <v>223</v>
      </c>
      <c r="C192" s="6" t="s">
        <v>260</v>
      </c>
      <c r="D192" s="6" t="s">
        <v>267</v>
      </c>
      <c r="E192" s="6" t="s">
        <v>270</v>
      </c>
      <c r="F192" s="6"/>
      <c r="G192" s="6"/>
      <c r="H192" s="6"/>
      <c r="I192" s="6"/>
      <c r="J192" s="6"/>
      <c r="K192" s="6"/>
      <c r="L192" s="6"/>
      <c r="M192" s="6"/>
      <c r="N192" s="6"/>
      <c r="O192" s="6"/>
      <c r="P192" s="6"/>
      <c r="Q192" s="6"/>
      <c r="R192" s="8">
        <v>72.510000000000005</v>
      </c>
      <c r="S192" s="8">
        <v>72.510000000000005</v>
      </c>
      <c r="T192" s="6"/>
      <c r="U192" s="6"/>
      <c r="V192" s="6"/>
      <c r="W192" s="6"/>
      <c r="X192" s="6"/>
      <c r="Y192" s="6"/>
      <c r="Z192" s="8">
        <v>14</v>
      </c>
      <c r="AA192" s="8">
        <v>14</v>
      </c>
      <c r="AB192" s="6"/>
      <c r="AC192" s="6"/>
      <c r="AD192" s="6"/>
      <c r="AE192" s="6"/>
      <c r="AF192" s="6"/>
      <c r="AG192" s="6"/>
      <c r="AH192" s="6"/>
      <c r="AI192" s="6"/>
      <c r="AJ192" s="6"/>
      <c r="AK192" s="6"/>
      <c r="AL192" s="6"/>
      <c r="AM192" s="6"/>
      <c r="AN192" s="6"/>
      <c r="AO192" s="6"/>
      <c r="AP192" s="6"/>
      <c r="AQ192" s="6"/>
      <c r="AR192" s="6"/>
      <c r="AS192" s="6"/>
      <c r="AT192" s="6"/>
      <c r="AU192" s="8">
        <v>11.38</v>
      </c>
      <c r="AV192" s="8">
        <v>11.38</v>
      </c>
      <c r="AW192" s="6"/>
      <c r="AX192" s="6"/>
      <c r="AY192" s="6"/>
      <c r="AZ192" s="6"/>
      <c r="BA192" s="8">
        <v>4.7300000000000004</v>
      </c>
      <c r="BB192" s="8">
        <v>4.7300000000000004</v>
      </c>
      <c r="BC192" s="6"/>
      <c r="BD192" s="6"/>
      <c r="BE192" s="6"/>
      <c r="BF192" s="6"/>
      <c r="BG192" s="6"/>
      <c r="BH192" s="6"/>
      <c r="BI192" s="6"/>
      <c r="BJ192" s="6"/>
      <c r="BK192" s="6"/>
      <c r="BL192" s="8">
        <v>102.62</v>
      </c>
      <c r="BM192" s="6"/>
      <c r="BN192" s="6"/>
      <c r="BO192" s="6"/>
      <c r="BP192" s="6"/>
      <c r="BQ192" s="6"/>
      <c r="BR192" s="6"/>
      <c r="BS192" s="6"/>
      <c r="BT192" s="6"/>
      <c r="BU192" s="6"/>
      <c r="BV192" s="6"/>
      <c r="BW192" s="6"/>
      <c r="BX192" s="6"/>
      <c r="BY192" s="6"/>
      <c r="BZ192" s="6"/>
      <c r="CA192" s="6"/>
      <c r="CB192" s="6"/>
      <c r="CC192" s="6"/>
      <c r="CD192" s="6"/>
      <c r="CE192" s="6"/>
      <c r="CF192" s="6"/>
      <c r="CG192" s="9">
        <v>102.62</v>
      </c>
    </row>
    <row r="193" spans="1:85" x14ac:dyDescent="0.3">
      <c r="A193" s="3" t="str">
        <f t="shared" si="4"/>
        <v>NON ADDNSTC Crosscuts (excl. HSA)Networking &amp; Information Technology R&amp;D (NITRD)NITRD-CNPS-Computing-Enabled Networked Physical Systems</v>
      </c>
      <c r="B193" s="6" t="s">
        <v>223</v>
      </c>
      <c r="C193" s="6" t="s">
        <v>260</v>
      </c>
      <c r="D193" s="6" t="s">
        <v>267</v>
      </c>
      <c r="E193" s="6" t="s">
        <v>271</v>
      </c>
      <c r="F193" s="6"/>
      <c r="G193" s="6"/>
      <c r="H193" s="6"/>
      <c r="I193" s="6"/>
      <c r="J193" s="6"/>
      <c r="K193" s="8">
        <v>1</v>
      </c>
      <c r="L193" s="8">
        <v>1</v>
      </c>
      <c r="M193" s="6"/>
      <c r="N193" s="6"/>
      <c r="O193" s="6"/>
      <c r="P193" s="6"/>
      <c r="Q193" s="6"/>
      <c r="R193" s="8">
        <v>65.13</v>
      </c>
      <c r="S193" s="8">
        <v>65.13</v>
      </c>
      <c r="T193" s="6"/>
      <c r="U193" s="6"/>
      <c r="V193" s="6"/>
      <c r="W193" s="6"/>
      <c r="X193" s="6"/>
      <c r="Y193" s="6"/>
      <c r="Z193" s="8">
        <v>10</v>
      </c>
      <c r="AA193" s="8">
        <v>10</v>
      </c>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
        <v>65.34</v>
      </c>
      <c r="BB193" s="8">
        <v>65.34</v>
      </c>
      <c r="BC193" s="6"/>
      <c r="BD193" s="6"/>
      <c r="BE193" s="6"/>
      <c r="BF193" s="6"/>
      <c r="BG193" s="6"/>
      <c r="BH193" s="6"/>
      <c r="BI193" s="6"/>
      <c r="BJ193" s="6"/>
      <c r="BK193" s="6"/>
      <c r="BL193" s="8">
        <v>141.47</v>
      </c>
      <c r="BM193" s="6"/>
      <c r="BN193" s="6"/>
      <c r="BO193" s="6"/>
      <c r="BP193" s="6"/>
      <c r="BQ193" s="6"/>
      <c r="BR193" s="6"/>
      <c r="BS193" s="6"/>
      <c r="BT193" s="6"/>
      <c r="BU193" s="6"/>
      <c r="BV193" s="6"/>
      <c r="BW193" s="6"/>
      <c r="BX193" s="6"/>
      <c r="BY193" s="6"/>
      <c r="BZ193" s="6"/>
      <c r="CA193" s="6"/>
      <c r="CB193" s="6"/>
      <c r="CC193" s="6"/>
      <c r="CD193" s="6"/>
      <c r="CE193" s="6"/>
      <c r="CF193" s="6"/>
      <c r="CG193" s="9">
        <v>141.47</v>
      </c>
    </row>
    <row r="194" spans="1:85" x14ac:dyDescent="0.3">
      <c r="A194" s="3" t="str">
        <f t="shared" si="4"/>
        <v>NON ADDNSTC Crosscuts (excl. HSA)Networking &amp; Information Technology R&amp;D (NITRD)NITRD-CSP-Cyber Security &amp; Privacy</v>
      </c>
      <c r="B194" s="6" t="s">
        <v>223</v>
      </c>
      <c r="C194" s="6" t="s">
        <v>260</v>
      </c>
      <c r="D194" s="6" t="s">
        <v>267</v>
      </c>
      <c r="E194" s="6" t="s">
        <v>272</v>
      </c>
      <c r="F194" s="6"/>
      <c r="G194" s="6"/>
      <c r="H194" s="6"/>
      <c r="I194" s="6"/>
      <c r="J194" s="6"/>
      <c r="K194" s="6"/>
      <c r="L194" s="6"/>
      <c r="M194" s="6"/>
      <c r="N194" s="6"/>
      <c r="O194" s="6"/>
      <c r="P194" s="6"/>
      <c r="Q194" s="8">
        <v>0</v>
      </c>
      <c r="R194" s="8">
        <v>104.3</v>
      </c>
      <c r="S194" s="8">
        <v>104.3</v>
      </c>
      <c r="T194" s="6"/>
      <c r="U194" s="6"/>
      <c r="V194" s="6"/>
      <c r="W194" s="6"/>
      <c r="X194" s="6"/>
      <c r="Y194" s="6"/>
      <c r="Z194" s="8">
        <v>1.98</v>
      </c>
      <c r="AA194" s="8">
        <v>1.98</v>
      </c>
      <c r="AB194" s="6"/>
      <c r="AC194" s="6"/>
      <c r="AD194" s="6"/>
      <c r="AE194" s="6"/>
      <c r="AF194" s="6"/>
      <c r="AG194" s="6"/>
      <c r="AH194" s="6"/>
      <c r="AI194" s="6"/>
      <c r="AJ194" s="6"/>
      <c r="AK194" s="6"/>
      <c r="AL194" s="8">
        <v>2</v>
      </c>
      <c r="AM194" s="6"/>
      <c r="AN194" s="6"/>
      <c r="AO194" s="6"/>
      <c r="AP194" s="8">
        <v>2</v>
      </c>
      <c r="AQ194" s="8">
        <v>0</v>
      </c>
      <c r="AR194" s="6"/>
      <c r="AS194" s="8">
        <v>0</v>
      </c>
      <c r="AT194" s="8">
        <v>0</v>
      </c>
      <c r="AU194" s="8">
        <v>6</v>
      </c>
      <c r="AV194" s="8">
        <v>6</v>
      </c>
      <c r="AW194" s="6"/>
      <c r="AX194" s="6"/>
      <c r="AY194" s="6"/>
      <c r="AZ194" s="6"/>
      <c r="BA194" s="8">
        <v>15</v>
      </c>
      <c r="BB194" s="8">
        <v>15</v>
      </c>
      <c r="BC194" s="6"/>
      <c r="BD194" s="6"/>
      <c r="BE194" s="6"/>
      <c r="BF194" s="6"/>
      <c r="BG194" s="6"/>
      <c r="BH194" s="6"/>
      <c r="BI194" s="6"/>
      <c r="BJ194" s="6"/>
      <c r="BK194" s="6"/>
      <c r="BL194" s="8">
        <v>129.28</v>
      </c>
      <c r="BM194" s="6"/>
      <c r="BN194" s="6"/>
      <c r="BO194" s="6"/>
      <c r="BP194" s="6"/>
      <c r="BQ194" s="6"/>
      <c r="BR194" s="6"/>
      <c r="BS194" s="6"/>
      <c r="BT194" s="6"/>
      <c r="BU194" s="6"/>
      <c r="BV194" s="6"/>
      <c r="BW194" s="6"/>
      <c r="BX194" s="6"/>
      <c r="BY194" s="6"/>
      <c r="BZ194" s="6"/>
      <c r="CA194" s="6"/>
      <c r="CB194" s="6"/>
      <c r="CC194" s="6"/>
      <c r="CD194" s="6"/>
      <c r="CE194" s="6"/>
      <c r="CF194" s="6"/>
      <c r="CG194" s="9">
        <v>129.28</v>
      </c>
    </row>
    <row r="195" spans="1:85" x14ac:dyDescent="0.3">
      <c r="A195" s="3" t="str">
        <f t="shared" si="4"/>
        <v>NON ADDNSTC Crosscuts (excl. HSA)Networking &amp; Information Technology R&amp;D (NITRD)NITRD-EdW-Education and Workforce</v>
      </c>
      <c r="B195" s="6" t="s">
        <v>223</v>
      </c>
      <c r="C195" s="6" t="s">
        <v>260</v>
      </c>
      <c r="D195" s="6" t="s">
        <v>267</v>
      </c>
      <c r="E195" s="6" t="s">
        <v>273</v>
      </c>
      <c r="F195" s="6"/>
      <c r="G195" s="6"/>
      <c r="H195" s="6"/>
      <c r="I195" s="6"/>
      <c r="J195" s="6"/>
      <c r="K195" s="8">
        <v>6</v>
      </c>
      <c r="L195" s="8">
        <v>6</v>
      </c>
      <c r="M195" s="6"/>
      <c r="N195" s="6"/>
      <c r="O195" s="6"/>
      <c r="P195" s="6"/>
      <c r="Q195" s="6"/>
      <c r="R195" s="8">
        <v>84.61</v>
      </c>
      <c r="S195" s="8">
        <v>84.61</v>
      </c>
      <c r="T195" s="6"/>
      <c r="U195" s="6"/>
      <c r="V195" s="6"/>
      <c r="W195" s="6"/>
      <c r="X195" s="6"/>
      <c r="Y195" s="6"/>
      <c r="Z195" s="8">
        <v>3.94</v>
      </c>
      <c r="AA195" s="8">
        <v>3.94</v>
      </c>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
        <v>28.1</v>
      </c>
      <c r="BB195" s="8">
        <v>28.1</v>
      </c>
      <c r="BC195" s="6"/>
      <c r="BD195" s="6"/>
      <c r="BE195" s="6"/>
      <c r="BF195" s="6"/>
      <c r="BG195" s="6"/>
      <c r="BH195" s="6"/>
      <c r="BI195" s="6"/>
      <c r="BJ195" s="6"/>
      <c r="BK195" s="6"/>
      <c r="BL195" s="8">
        <v>122.65</v>
      </c>
      <c r="BM195" s="6"/>
      <c r="BN195" s="6"/>
      <c r="BO195" s="6"/>
      <c r="BP195" s="6"/>
      <c r="BQ195" s="8">
        <v>10</v>
      </c>
      <c r="BR195" s="8">
        <v>10</v>
      </c>
      <c r="BS195" s="8">
        <v>10</v>
      </c>
      <c r="BT195" s="6"/>
      <c r="BU195" s="6"/>
      <c r="BV195" s="6"/>
      <c r="BW195" s="6"/>
      <c r="BX195" s="6"/>
      <c r="BY195" s="6"/>
      <c r="BZ195" s="6"/>
      <c r="CA195" s="6"/>
      <c r="CB195" s="6"/>
      <c r="CC195" s="6"/>
      <c r="CD195" s="6"/>
      <c r="CE195" s="6"/>
      <c r="CF195" s="6"/>
      <c r="CG195" s="9">
        <v>132.65</v>
      </c>
    </row>
    <row r="196" spans="1:85" x14ac:dyDescent="0.3">
      <c r="A196" s="3" t="str">
        <f t="shared" si="4"/>
        <v>NON ADDNSTC Crosscuts (excl. HSA)Networking &amp; Information Technology R&amp;D (NITRD)NITRD-EHCS-Enabling-R&amp;D for High-Capability Computing System</v>
      </c>
      <c r="B196" s="6" t="s">
        <v>223</v>
      </c>
      <c r="C196" s="6" t="s">
        <v>260</v>
      </c>
      <c r="D196" s="6" t="s">
        <v>267</v>
      </c>
      <c r="E196" s="6" t="s">
        <v>274</v>
      </c>
      <c r="F196" s="6"/>
      <c r="G196" s="6"/>
      <c r="H196" s="6"/>
      <c r="I196" s="6"/>
      <c r="J196" s="6"/>
      <c r="K196" s="6"/>
      <c r="L196" s="6"/>
      <c r="M196" s="6"/>
      <c r="N196" s="6"/>
      <c r="O196" s="6"/>
      <c r="P196" s="6"/>
      <c r="Q196" s="6"/>
      <c r="R196" s="8">
        <v>118.09</v>
      </c>
      <c r="S196" s="8">
        <v>118.09</v>
      </c>
      <c r="T196" s="6"/>
      <c r="U196" s="6"/>
      <c r="V196" s="6"/>
      <c r="W196" s="6"/>
      <c r="X196" s="6"/>
      <c r="Y196" s="6"/>
      <c r="Z196" s="8">
        <v>1</v>
      </c>
      <c r="AA196" s="8">
        <v>1</v>
      </c>
      <c r="AB196" s="6"/>
      <c r="AC196" s="6"/>
      <c r="AD196" s="6"/>
      <c r="AE196" s="6"/>
      <c r="AF196" s="6"/>
      <c r="AG196" s="6"/>
      <c r="AH196" s="6"/>
      <c r="AI196" s="6"/>
      <c r="AJ196" s="8">
        <v>50</v>
      </c>
      <c r="AK196" s="8">
        <v>5</v>
      </c>
      <c r="AL196" s="8">
        <v>6</v>
      </c>
      <c r="AM196" s="6"/>
      <c r="AN196" s="6"/>
      <c r="AO196" s="6"/>
      <c r="AP196" s="8">
        <v>61</v>
      </c>
      <c r="AQ196" s="6"/>
      <c r="AR196" s="6"/>
      <c r="AS196" s="6"/>
      <c r="AT196" s="6"/>
      <c r="AU196" s="6"/>
      <c r="AV196" s="6"/>
      <c r="AW196" s="6"/>
      <c r="AX196" s="6"/>
      <c r="AY196" s="6"/>
      <c r="AZ196" s="6"/>
      <c r="BA196" s="8">
        <v>0.67</v>
      </c>
      <c r="BB196" s="8">
        <v>0.67</v>
      </c>
      <c r="BC196" s="6"/>
      <c r="BD196" s="6"/>
      <c r="BE196" s="6"/>
      <c r="BF196" s="6"/>
      <c r="BG196" s="6"/>
      <c r="BH196" s="6"/>
      <c r="BI196" s="6"/>
      <c r="BJ196" s="6"/>
      <c r="BK196" s="6"/>
      <c r="BL196" s="8">
        <v>180.76</v>
      </c>
      <c r="BM196" s="6"/>
      <c r="BN196" s="6"/>
      <c r="BO196" s="6"/>
      <c r="BP196" s="6"/>
      <c r="BQ196" s="6"/>
      <c r="BR196" s="6"/>
      <c r="BS196" s="6"/>
      <c r="BT196" s="6"/>
      <c r="BU196" s="6"/>
      <c r="BV196" s="6"/>
      <c r="BW196" s="6"/>
      <c r="BX196" s="6"/>
      <c r="BY196" s="6"/>
      <c r="BZ196" s="6"/>
      <c r="CA196" s="6"/>
      <c r="CB196" s="6"/>
      <c r="CC196" s="6"/>
      <c r="CD196" s="6"/>
      <c r="CE196" s="6"/>
      <c r="CF196" s="6"/>
      <c r="CG196" s="9">
        <v>180.76</v>
      </c>
    </row>
    <row r="197" spans="1:85" x14ac:dyDescent="0.3">
      <c r="A197" s="3" t="str">
        <f t="shared" si="4"/>
        <v>NON ADDNSTC Crosscuts (excl. HSA)Networking &amp; Information Technology R&amp;D (NITRD)NITRD-ENIT-Electronics for Networking &amp; Information Technology</v>
      </c>
      <c r="B197" s="6" t="s">
        <v>223</v>
      </c>
      <c r="C197" s="6" t="s">
        <v>260</v>
      </c>
      <c r="D197" s="6" t="s">
        <v>267</v>
      </c>
      <c r="E197" s="6" t="s">
        <v>275</v>
      </c>
      <c r="F197" s="6"/>
      <c r="G197" s="6"/>
      <c r="H197" s="6"/>
      <c r="I197" s="6"/>
      <c r="J197" s="6"/>
      <c r="K197" s="8">
        <v>2</v>
      </c>
      <c r="L197" s="8">
        <v>2</v>
      </c>
      <c r="M197" s="6"/>
      <c r="N197" s="6"/>
      <c r="O197" s="6"/>
      <c r="P197" s="6"/>
      <c r="Q197" s="6"/>
      <c r="R197" s="8">
        <v>25.46</v>
      </c>
      <c r="S197" s="8">
        <v>25.46</v>
      </c>
      <c r="T197" s="6"/>
      <c r="U197" s="6"/>
      <c r="V197" s="6"/>
      <c r="W197" s="6"/>
      <c r="X197" s="6"/>
      <c r="Y197" s="6"/>
      <c r="Z197" s="8">
        <v>5.49</v>
      </c>
      <c r="AA197" s="8">
        <v>5.49</v>
      </c>
      <c r="AB197" s="6"/>
      <c r="AC197" s="6"/>
      <c r="AD197" s="6"/>
      <c r="AE197" s="6"/>
      <c r="AF197" s="6"/>
      <c r="AG197" s="6"/>
      <c r="AH197" s="6"/>
      <c r="AI197" s="6"/>
      <c r="AJ197" s="8">
        <v>1</v>
      </c>
      <c r="AK197" s="8">
        <v>25</v>
      </c>
      <c r="AL197" s="6"/>
      <c r="AM197" s="6"/>
      <c r="AN197" s="6"/>
      <c r="AO197" s="6"/>
      <c r="AP197" s="8">
        <v>26</v>
      </c>
      <c r="AQ197" s="6"/>
      <c r="AR197" s="6"/>
      <c r="AS197" s="6"/>
      <c r="AT197" s="6"/>
      <c r="AU197" s="6"/>
      <c r="AV197" s="6"/>
      <c r="AW197" s="6"/>
      <c r="AX197" s="6"/>
      <c r="AY197" s="6"/>
      <c r="AZ197" s="6"/>
      <c r="BA197" s="8">
        <v>45.23</v>
      </c>
      <c r="BB197" s="8">
        <v>45.23</v>
      </c>
      <c r="BC197" s="6"/>
      <c r="BD197" s="6"/>
      <c r="BE197" s="6"/>
      <c r="BF197" s="6"/>
      <c r="BG197" s="6"/>
      <c r="BH197" s="6"/>
      <c r="BI197" s="6"/>
      <c r="BJ197" s="6"/>
      <c r="BK197" s="6"/>
      <c r="BL197" s="8">
        <v>104.18</v>
      </c>
      <c r="BM197" s="6"/>
      <c r="BN197" s="6"/>
      <c r="BO197" s="6"/>
      <c r="BP197" s="6"/>
      <c r="BQ197" s="6"/>
      <c r="BR197" s="6"/>
      <c r="BS197" s="6"/>
      <c r="BT197" s="6"/>
      <c r="BU197" s="6"/>
      <c r="BV197" s="6"/>
      <c r="BW197" s="6"/>
      <c r="BX197" s="6"/>
      <c r="BY197" s="6"/>
      <c r="BZ197" s="6"/>
      <c r="CA197" s="6"/>
      <c r="CB197" s="6"/>
      <c r="CC197" s="6"/>
      <c r="CD197" s="6"/>
      <c r="CE197" s="6"/>
      <c r="CF197" s="6"/>
      <c r="CG197" s="9">
        <v>104.18</v>
      </c>
    </row>
    <row r="198" spans="1:85" x14ac:dyDescent="0.3">
      <c r="A198" s="3" t="str">
        <f t="shared" si="4"/>
        <v>NON ADDNSTC Crosscuts (excl. HSA)Networking &amp; Information Technology R&amp;D (NITRD)NITRD-HCIA-High Capability Computing Infrastructure and Applications</v>
      </c>
      <c r="B198" s="6" t="s">
        <v>223</v>
      </c>
      <c r="C198" s="6" t="s">
        <v>260</v>
      </c>
      <c r="D198" s="6" t="s">
        <v>267</v>
      </c>
      <c r="E198" s="6" t="s">
        <v>276</v>
      </c>
      <c r="F198" s="6"/>
      <c r="G198" s="6"/>
      <c r="H198" s="6"/>
      <c r="I198" s="6"/>
      <c r="J198" s="6"/>
      <c r="K198" s="8">
        <v>2.5</v>
      </c>
      <c r="L198" s="8">
        <v>2.5</v>
      </c>
      <c r="M198" s="6"/>
      <c r="N198" s="6"/>
      <c r="O198" s="6"/>
      <c r="P198" s="6"/>
      <c r="Q198" s="6"/>
      <c r="R198" s="8">
        <v>133.26</v>
      </c>
      <c r="S198" s="8">
        <v>133.26</v>
      </c>
      <c r="T198" s="6"/>
      <c r="U198" s="6"/>
      <c r="V198" s="6"/>
      <c r="W198" s="6"/>
      <c r="X198" s="6"/>
      <c r="Y198" s="6"/>
      <c r="Z198" s="8">
        <v>8</v>
      </c>
      <c r="AA198" s="8">
        <v>8</v>
      </c>
      <c r="AB198" s="6"/>
      <c r="AC198" s="6"/>
      <c r="AD198" s="6"/>
      <c r="AE198" s="6"/>
      <c r="AF198" s="6"/>
      <c r="AG198" s="8">
        <v>25</v>
      </c>
      <c r="AH198" s="8">
        <v>25</v>
      </c>
      <c r="AI198" s="8">
        <v>0.5</v>
      </c>
      <c r="AJ198" s="8">
        <v>12</v>
      </c>
      <c r="AK198" s="8">
        <v>1.5</v>
      </c>
      <c r="AL198" s="6"/>
      <c r="AM198" s="6"/>
      <c r="AN198" s="8">
        <v>24</v>
      </c>
      <c r="AO198" s="6"/>
      <c r="AP198" s="8">
        <v>38</v>
      </c>
      <c r="AQ198" s="6"/>
      <c r="AR198" s="6"/>
      <c r="AS198" s="6"/>
      <c r="AT198" s="6"/>
      <c r="AU198" s="6"/>
      <c r="AV198" s="6"/>
      <c r="AW198" s="6"/>
      <c r="AX198" s="6"/>
      <c r="AY198" s="6"/>
      <c r="AZ198" s="6"/>
      <c r="BA198" s="8">
        <v>2.44</v>
      </c>
      <c r="BB198" s="8">
        <v>2.44</v>
      </c>
      <c r="BC198" s="6"/>
      <c r="BD198" s="6"/>
      <c r="BE198" s="6"/>
      <c r="BF198" s="6"/>
      <c r="BG198" s="6"/>
      <c r="BH198" s="6"/>
      <c r="BI198" s="6"/>
      <c r="BJ198" s="6"/>
      <c r="BK198" s="6"/>
      <c r="BL198" s="8">
        <v>209.2</v>
      </c>
      <c r="BM198" s="6"/>
      <c r="BN198" s="6"/>
      <c r="BO198" s="6"/>
      <c r="BP198" s="6"/>
      <c r="BQ198" s="6"/>
      <c r="BR198" s="6"/>
      <c r="BS198" s="6"/>
      <c r="BT198" s="6"/>
      <c r="BU198" s="6"/>
      <c r="BV198" s="6"/>
      <c r="BW198" s="6"/>
      <c r="BX198" s="6"/>
      <c r="BY198" s="6"/>
      <c r="BZ198" s="6"/>
      <c r="CA198" s="6"/>
      <c r="CB198" s="6"/>
      <c r="CC198" s="6"/>
      <c r="CD198" s="6"/>
      <c r="CE198" s="6"/>
      <c r="CF198" s="6"/>
      <c r="CG198" s="9">
        <v>209.2</v>
      </c>
    </row>
    <row r="199" spans="1:85" x14ac:dyDescent="0.3">
      <c r="A199" s="3" t="str">
        <f t="shared" si="4"/>
        <v>NON ADDNSTC Crosscuts (excl. HSA)Networking &amp; Information Technology R&amp;D (NITRD)NITRD-IRAS-Intelligent Robotics and Autonomous Systems</v>
      </c>
      <c r="B199" s="6" t="s">
        <v>223</v>
      </c>
      <c r="C199" s="6" t="s">
        <v>260</v>
      </c>
      <c r="D199" s="6" t="s">
        <v>267</v>
      </c>
      <c r="E199" s="6" t="s">
        <v>277</v>
      </c>
      <c r="F199" s="6"/>
      <c r="G199" s="6"/>
      <c r="H199" s="6"/>
      <c r="I199" s="6"/>
      <c r="J199" s="6"/>
      <c r="K199" s="6"/>
      <c r="L199" s="6"/>
      <c r="M199" s="6"/>
      <c r="N199" s="6"/>
      <c r="O199" s="6"/>
      <c r="P199" s="6"/>
      <c r="Q199" s="6"/>
      <c r="R199" s="8">
        <v>31.29</v>
      </c>
      <c r="S199" s="8">
        <v>31.29</v>
      </c>
      <c r="T199" s="6"/>
      <c r="U199" s="6"/>
      <c r="V199" s="6"/>
      <c r="W199" s="6"/>
      <c r="X199" s="6"/>
      <c r="Y199" s="6"/>
      <c r="Z199" s="8">
        <v>13</v>
      </c>
      <c r="AA199" s="8">
        <v>13</v>
      </c>
      <c r="AB199" s="6"/>
      <c r="AC199" s="6"/>
      <c r="AD199" s="6"/>
      <c r="AE199" s="6"/>
      <c r="AF199" s="6"/>
      <c r="AG199" s="6"/>
      <c r="AH199" s="6"/>
      <c r="AI199" s="6"/>
      <c r="AJ199" s="8">
        <v>0</v>
      </c>
      <c r="AK199" s="6"/>
      <c r="AL199" s="6"/>
      <c r="AM199" s="6"/>
      <c r="AN199" s="6"/>
      <c r="AO199" s="6"/>
      <c r="AP199" s="8">
        <v>0</v>
      </c>
      <c r="AQ199" s="6"/>
      <c r="AR199" s="6"/>
      <c r="AS199" s="6"/>
      <c r="AT199" s="6"/>
      <c r="AU199" s="6"/>
      <c r="AV199" s="6"/>
      <c r="AW199" s="6"/>
      <c r="AX199" s="6"/>
      <c r="AY199" s="6"/>
      <c r="AZ199" s="6"/>
      <c r="BA199" s="8">
        <v>19.07</v>
      </c>
      <c r="BB199" s="8">
        <v>19.07</v>
      </c>
      <c r="BC199" s="6"/>
      <c r="BD199" s="6"/>
      <c r="BE199" s="6"/>
      <c r="BF199" s="6"/>
      <c r="BG199" s="6"/>
      <c r="BH199" s="6"/>
      <c r="BI199" s="6"/>
      <c r="BJ199" s="6"/>
      <c r="BK199" s="6"/>
      <c r="BL199" s="8">
        <v>63.36</v>
      </c>
      <c r="BM199" s="6"/>
      <c r="BN199" s="6"/>
      <c r="BO199" s="6"/>
      <c r="BP199" s="6"/>
      <c r="BQ199" s="6"/>
      <c r="BR199" s="6"/>
      <c r="BS199" s="6"/>
      <c r="BT199" s="6"/>
      <c r="BU199" s="6"/>
      <c r="BV199" s="6"/>
      <c r="BW199" s="6"/>
      <c r="BX199" s="6"/>
      <c r="BY199" s="6"/>
      <c r="BZ199" s="6"/>
      <c r="CA199" s="6"/>
      <c r="CB199" s="6"/>
      <c r="CC199" s="6"/>
      <c r="CD199" s="6"/>
      <c r="CE199" s="6"/>
      <c r="CF199" s="6"/>
      <c r="CG199" s="9">
        <v>63.36</v>
      </c>
    </row>
    <row r="200" spans="1:85" x14ac:dyDescent="0.3">
      <c r="A200" s="3" t="str">
        <f t="shared" si="4"/>
        <v>NON ADDNSTC Crosscuts (excl. HSA)Networking &amp; Information Technology R&amp;D (NITRD)NITRD-LSDMA-Large-Scale Data Management and Analysis</v>
      </c>
      <c r="B200" s="6" t="s">
        <v>223</v>
      </c>
      <c r="C200" s="6" t="s">
        <v>260</v>
      </c>
      <c r="D200" s="6" t="s">
        <v>267</v>
      </c>
      <c r="E200" s="6" t="s">
        <v>278</v>
      </c>
      <c r="F200" s="6"/>
      <c r="G200" s="6"/>
      <c r="H200" s="6"/>
      <c r="I200" s="6"/>
      <c r="J200" s="6"/>
      <c r="K200" s="8">
        <v>43</v>
      </c>
      <c r="L200" s="8">
        <v>43</v>
      </c>
      <c r="M200" s="6"/>
      <c r="N200" s="6"/>
      <c r="O200" s="6"/>
      <c r="P200" s="6"/>
      <c r="Q200" s="6"/>
      <c r="R200" s="8">
        <v>124.14</v>
      </c>
      <c r="S200" s="8">
        <v>124.14</v>
      </c>
      <c r="T200" s="6"/>
      <c r="U200" s="6"/>
      <c r="V200" s="6"/>
      <c r="W200" s="6"/>
      <c r="X200" s="6"/>
      <c r="Y200" s="6"/>
      <c r="Z200" s="8">
        <v>5.8</v>
      </c>
      <c r="AA200" s="8">
        <v>5.8</v>
      </c>
      <c r="AB200" s="6"/>
      <c r="AC200" s="6"/>
      <c r="AD200" s="6"/>
      <c r="AE200" s="6"/>
      <c r="AF200" s="6"/>
      <c r="AG200" s="6"/>
      <c r="AH200" s="6"/>
      <c r="AI200" s="8">
        <v>4.6399999999999997</v>
      </c>
      <c r="AJ200" s="8">
        <v>4</v>
      </c>
      <c r="AK200" s="6"/>
      <c r="AL200" s="8">
        <v>2.5</v>
      </c>
      <c r="AM200" s="8">
        <v>0</v>
      </c>
      <c r="AN200" s="6"/>
      <c r="AO200" s="6"/>
      <c r="AP200" s="8">
        <v>11.14</v>
      </c>
      <c r="AQ200" s="8">
        <v>0</v>
      </c>
      <c r="AR200" s="6"/>
      <c r="AS200" s="8">
        <v>0</v>
      </c>
      <c r="AT200" s="8">
        <v>0</v>
      </c>
      <c r="AU200" s="8">
        <v>8.19</v>
      </c>
      <c r="AV200" s="8">
        <v>8.19</v>
      </c>
      <c r="AW200" s="6"/>
      <c r="AX200" s="6"/>
      <c r="AY200" s="6"/>
      <c r="AZ200" s="6"/>
      <c r="BA200" s="8">
        <v>57.79</v>
      </c>
      <c r="BB200" s="8">
        <v>57.79</v>
      </c>
      <c r="BC200" s="6"/>
      <c r="BD200" s="6"/>
      <c r="BE200" s="6"/>
      <c r="BF200" s="6"/>
      <c r="BG200" s="6"/>
      <c r="BH200" s="6"/>
      <c r="BI200" s="6"/>
      <c r="BJ200" s="6"/>
      <c r="BK200" s="6"/>
      <c r="BL200" s="8">
        <v>250.06</v>
      </c>
      <c r="BM200" s="6"/>
      <c r="BN200" s="6"/>
      <c r="BO200" s="6"/>
      <c r="BP200" s="6"/>
      <c r="BQ200" s="6"/>
      <c r="BR200" s="6"/>
      <c r="BS200" s="6"/>
      <c r="BT200" s="6"/>
      <c r="BU200" s="6"/>
      <c r="BV200" s="6"/>
      <c r="BW200" s="6"/>
      <c r="BX200" s="6"/>
      <c r="BY200" s="6"/>
      <c r="BZ200" s="6"/>
      <c r="CA200" s="6"/>
      <c r="CB200" s="6"/>
      <c r="CC200" s="6"/>
      <c r="CD200" s="6"/>
      <c r="CE200" s="6"/>
      <c r="CF200" s="6"/>
      <c r="CG200" s="9">
        <v>250.06</v>
      </c>
    </row>
    <row r="201" spans="1:85" x14ac:dyDescent="0.3">
      <c r="A201" s="3" t="str">
        <f t="shared" ref="A201:A251" si="5">CONCATENATE(B201,C201,D201,E201)</f>
        <v>NON ADDNSTC Crosscuts (excl. HSA)Networking &amp; Information Technology R&amp;D (NITRD)NITRD-SPSQ-Software Productivity, Sustainability and Quality</v>
      </c>
      <c r="B201" s="6" t="s">
        <v>223</v>
      </c>
      <c r="C201" s="6" t="s">
        <v>260</v>
      </c>
      <c r="D201" s="6" t="s">
        <v>267</v>
      </c>
      <c r="E201" s="6" t="s">
        <v>279</v>
      </c>
      <c r="F201" s="6"/>
      <c r="G201" s="6"/>
      <c r="H201" s="6"/>
      <c r="I201" s="6"/>
      <c r="J201" s="6"/>
      <c r="K201" s="8">
        <v>12.5</v>
      </c>
      <c r="L201" s="8">
        <v>12.5</v>
      </c>
      <c r="M201" s="6"/>
      <c r="N201" s="6"/>
      <c r="O201" s="6"/>
      <c r="P201" s="6"/>
      <c r="Q201" s="8">
        <v>0</v>
      </c>
      <c r="R201" s="8">
        <v>54.51</v>
      </c>
      <c r="S201" s="8">
        <v>54.51</v>
      </c>
      <c r="T201" s="6"/>
      <c r="U201" s="6"/>
      <c r="V201" s="6"/>
      <c r="W201" s="6"/>
      <c r="X201" s="6"/>
      <c r="Y201" s="6"/>
      <c r="Z201" s="8">
        <v>0.7</v>
      </c>
      <c r="AA201" s="8">
        <v>0.7</v>
      </c>
      <c r="AB201" s="6"/>
      <c r="AC201" s="6"/>
      <c r="AD201" s="6"/>
      <c r="AE201" s="6"/>
      <c r="AF201" s="6"/>
      <c r="AG201" s="6"/>
      <c r="AH201" s="6"/>
      <c r="AI201" s="6"/>
      <c r="AJ201" s="6"/>
      <c r="AK201" s="6"/>
      <c r="AL201" s="6"/>
      <c r="AM201" s="6"/>
      <c r="AN201" s="6"/>
      <c r="AO201" s="6"/>
      <c r="AP201" s="6"/>
      <c r="AQ201" s="8">
        <v>0</v>
      </c>
      <c r="AR201" s="8">
        <v>0</v>
      </c>
      <c r="AS201" s="8">
        <v>0</v>
      </c>
      <c r="AT201" s="8">
        <v>0</v>
      </c>
      <c r="AU201" s="8">
        <v>1.5</v>
      </c>
      <c r="AV201" s="8">
        <v>1.5</v>
      </c>
      <c r="AW201" s="6"/>
      <c r="AX201" s="6"/>
      <c r="AY201" s="6"/>
      <c r="AZ201" s="6"/>
      <c r="BA201" s="8">
        <v>12.07</v>
      </c>
      <c r="BB201" s="8">
        <v>12.07</v>
      </c>
      <c r="BC201" s="6"/>
      <c r="BD201" s="6"/>
      <c r="BE201" s="6"/>
      <c r="BF201" s="6"/>
      <c r="BG201" s="6"/>
      <c r="BH201" s="6"/>
      <c r="BI201" s="6"/>
      <c r="BJ201" s="6"/>
      <c r="BK201" s="6"/>
      <c r="BL201" s="8">
        <v>81.28</v>
      </c>
      <c r="BM201" s="6"/>
      <c r="BN201" s="6"/>
      <c r="BO201" s="6"/>
      <c r="BP201" s="6"/>
      <c r="BQ201" s="6"/>
      <c r="BR201" s="6"/>
      <c r="BS201" s="6"/>
      <c r="BT201" s="6"/>
      <c r="BU201" s="6"/>
      <c r="BV201" s="6"/>
      <c r="BW201" s="6"/>
      <c r="BX201" s="6"/>
      <c r="BY201" s="6"/>
      <c r="BZ201" s="6"/>
      <c r="CA201" s="6"/>
      <c r="CB201" s="6"/>
      <c r="CC201" s="6"/>
      <c r="CD201" s="6"/>
      <c r="CE201" s="6"/>
      <c r="CF201" s="6"/>
      <c r="CG201" s="9">
        <v>81.28</v>
      </c>
    </row>
    <row r="202" spans="1:85" x14ac:dyDescent="0.3">
      <c r="A202" s="3" t="str">
        <f t="shared" si="5"/>
        <v>NON ADDNSTC Crosscuts (excl. HSA)Quantum Information Science (QIS)Total</v>
      </c>
      <c r="B202" s="6" t="s">
        <v>223</v>
      </c>
      <c r="C202" s="6" t="s">
        <v>260</v>
      </c>
      <c r="D202" s="6" t="s">
        <v>280</v>
      </c>
      <c r="E202" s="6" t="s">
        <v>24</v>
      </c>
      <c r="F202" s="6"/>
      <c r="G202" s="6"/>
      <c r="H202" s="6"/>
      <c r="I202" s="6"/>
      <c r="J202" s="6"/>
      <c r="K202" s="8">
        <v>3.28</v>
      </c>
      <c r="L202" s="8">
        <v>3.28</v>
      </c>
      <c r="M202" s="6"/>
      <c r="N202" s="6"/>
      <c r="O202" s="6"/>
      <c r="P202" s="6"/>
      <c r="Q202" s="6"/>
      <c r="R202" s="8">
        <v>24.28</v>
      </c>
      <c r="S202" s="8">
        <v>24.28</v>
      </c>
      <c r="T202" s="6"/>
      <c r="U202" s="6"/>
      <c r="V202" s="6"/>
      <c r="W202" s="6"/>
      <c r="X202" s="6"/>
      <c r="Y202" s="6"/>
      <c r="Z202" s="8">
        <v>32.89</v>
      </c>
      <c r="AA202" s="8">
        <v>32.89</v>
      </c>
      <c r="AB202" s="6"/>
      <c r="AC202" s="6"/>
      <c r="AD202" s="6"/>
      <c r="AE202" s="6"/>
      <c r="AF202" s="6"/>
      <c r="AG202" s="6"/>
      <c r="AH202" s="6"/>
      <c r="AI202" s="6"/>
      <c r="AJ202" s="6"/>
      <c r="AK202" s="6"/>
      <c r="AL202" s="6"/>
      <c r="AM202" s="6"/>
      <c r="AN202" s="6"/>
      <c r="AO202" s="8">
        <v>156.13</v>
      </c>
      <c r="AP202" s="8">
        <v>156.13</v>
      </c>
      <c r="AQ202" s="6"/>
      <c r="AR202" s="6"/>
      <c r="AS202" s="6"/>
      <c r="AT202" s="6"/>
      <c r="AU202" s="6"/>
      <c r="AV202" s="6"/>
      <c r="AW202" s="6"/>
      <c r="AX202" s="6"/>
      <c r="AY202" s="6"/>
      <c r="AZ202" s="6"/>
      <c r="BA202" s="8">
        <v>38.42</v>
      </c>
      <c r="BB202" s="8">
        <v>38.42</v>
      </c>
      <c r="BC202" s="8">
        <v>1</v>
      </c>
      <c r="BD202" s="8">
        <v>1</v>
      </c>
      <c r="BE202" s="6"/>
      <c r="BF202" s="6"/>
      <c r="BG202" s="6"/>
      <c r="BH202" s="6"/>
      <c r="BI202" s="6"/>
      <c r="BJ202" s="6"/>
      <c r="BK202" s="6"/>
      <c r="BL202" s="8">
        <v>256</v>
      </c>
      <c r="BM202" s="6"/>
      <c r="BN202" s="6"/>
      <c r="BO202" s="6"/>
      <c r="BP202" s="6"/>
      <c r="BQ202" s="8">
        <v>5</v>
      </c>
      <c r="BR202" s="8">
        <v>5</v>
      </c>
      <c r="BS202" s="8">
        <v>5</v>
      </c>
      <c r="BT202" s="6"/>
      <c r="BU202" s="6"/>
      <c r="BV202" s="6"/>
      <c r="BW202" s="6"/>
      <c r="BX202" s="6"/>
      <c r="BY202" s="6"/>
      <c r="BZ202" s="6"/>
      <c r="CA202" s="6"/>
      <c r="CB202" s="6"/>
      <c r="CC202" s="6"/>
      <c r="CD202" s="6"/>
      <c r="CE202" s="6"/>
      <c r="CF202" s="6"/>
      <c r="CG202" s="9">
        <v>261</v>
      </c>
    </row>
    <row r="203" spans="1:85" x14ac:dyDescent="0.3">
      <c r="A203" s="3" t="str">
        <f t="shared" si="5"/>
        <v>NON ADDNSTC Crosscuts (excl. HSA)Quantum Information Science (QIS)QIS-QADV-Foundational Quantum Information Science Advances</v>
      </c>
      <c r="B203" s="6" t="s">
        <v>223</v>
      </c>
      <c r="C203" s="6" t="s">
        <v>260</v>
      </c>
      <c r="D203" s="6" t="s">
        <v>280</v>
      </c>
      <c r="E203" s="6" t="s">
        <v>281</v>
      </c>
      <c r="F203" s="6"/>
      <c r="G203" s="6"/>
      <c r="H203" s="6"/>
      <c r="I203" s="6"/>
      <c r="J203" s="6"/>
      <c r="K203" s="8">
        <v>1</v>
      </c>
      <c r="L203" s="8">
        <v>1</v>
      </c>
      <c r="M203" s="6"/>
      <c r="N203" s="6"/>
      <c r="O203" s="6"/>
      <c r="P203" s="6"/>
      <c r="Q203" s="6"/>
      <c r="R203" s="8">
        <v>3.9</v>
      </c>
      <c r="S203" s="8">
        <v>3.9</v>
      </c>
      <c r="T203" s="6"/>
      <c r="U203" s="6"/>
      <c r="V203" s="6"/>
      <c r="W203" s="6"/>
      <c r="X203" s="6"/>
      <c r="Y203" s="6"/>
      <c r="Z203" s="8">
        <v>5.92</v>
      </c>
      <c r="AA203" s="8">
        <v>5.92</v>
      </c>
      <c r="AB203" s="6"/>
      <c r="AC203" s="6"/>
      <c r="AD203" s="6"/>
      <c r="AE203" s="6"/>
      <c r="AF203" s="6"/>
      <c r="AG203" s="6"/>
      <c r="AH203" s="6"/>
      <c r="AI203" s="6"/>
      <c r="AJ203" s="6"/>
      <c r="AK203" s="6"/>
      <c r="AL203" s="6"/>
      <c r="AM203" s="6"/>
      <c r="AN203" s="6"/>
      <c r="AO203" s="8">
        <v>53.78</v>
      </c>
      <c r="AP203" s="8">
        <v>53.78</v>
      </c>
      <c r="AQ203" s="6"/>
      <c r="AR203" s="6"/>
      <c r="AS203" s="6"/>
      <c r="AT203" s="6"/>
      <c r="AU203" s="6"/>
      <c r="AV203" s="6"/>
      <c r="AW203" s="6"/>
      <c r="AX203" s="6"/>
      <c r="AY203" s="6"/>
      <c r="AZ203" s="6"/>
      <c r="BA203" s="8">
        <v>2.4</v>
      </c>
      <c r="BB203" s="8">
        <v>2.4</v>
      </c>
      <c r="BC203" s="8">
        <v>1</v>
      </c>
      <c r="BD203" s="8">
        <v>1</v>
      </c>
      <c r="BE203" s="6"/>
      <c r="BF203" s="6"/>
      <c r="BG203" s="6"/>
      <c r="BH203" s="6"/>
      <c r="BI203" s="6"/>
      <c r="BJ203" s="6"/>
      <c r="BK203" s="6"/>
      <c r="BL203" s="8">
        <v>68</v>
      </c>
      <c r="BM203" s="6"/>
      <c r="BN203" s="6"/>
      <c r="BO203" s="6"/>
      <c r="BP203" s="6"/>
      <c r="BQ203" s="8">
        <v>5</v>
      </c>
      <c r="BR203" s="8">
        <v>5</v>
      </c>
      <c r="BS203" s="8">
        <v>5</v>
      </c>
      <c r="BT203" s="6"/>
      <c r="BU203" s="6"/>
      <c r="BV203" s="6"/>
      <c r="BW203" s="6"/>
      <c r="BX203" s="6"/>
      <c r="BY203" s="6"/>
      <c r="BZ203" s="6"/>
      <c r="CA203" s="6"/>
      <c r="CB203" s="6"/>
      <c r="CC203" s="6"/>
      <c r="CD203" s="6"/>
      <c r="CE203" s="6"/>
      <c r="CF203" s="6"/>
      <c r="CG203" s="9">
        <v>73</v>
      </c>
    </row>
    <row r="204" spans="1:85" x14ac:dyDescent="0.3">
      <c r="A204" s="3" t="str">
        <f t="shared" si="5"/>
        <v>NON ADDNSTC Crosscuts (excl. HSA)Quantum Information Science (QIS)QIS-QCOMP-Quantum Computing</v>
      </c>
      <c r="B204" s="6" t="s">
        <v>223</v>
      </c>
      <c r="C204" s="6" t="s">
        <v>260</v>
      </c>
      <c r="D204" s="6" t="s">
        <v>280</v>
      </c>
      <c r="E204" s="6" t="s">
        <v>282</v>
      </c>
      <c r="F204" s="6"/>
      <c r="G204" s="6"/>
      <c r="H204" s="6"/>
      <c r="I204" s="6"/>
      <c r="J204" s="6"/>
      <c r="K204" s="6"/>
      <c r="L204" s="6"/>
      <c r="M204" s="6"/>
      <c r="N204" s="6"/>
      <c r="O204" s="6"/>
      <c r="P204" s="6"/>
      <c r="Q204" s="6"/>
      <c r="R204" s="8">
        <v>8.9</v>
      </c>
      <c r="S204" s="8">
        <v>8.9</v>
      </c>
      <c r="T204" s="6"/>
      <c r="U204" s="6"/>
      <c r="V204" s="6"/>
      <c r="W204" s="6"/>
      <c r="X204" s="6"/>
      <c r="Y204" s="6"/>
      <c r="Z204" s="8">
        <v>8.2200000000000006</v>
      </c>
      <c r="AA204" s="8">
        <v>8.2200000000000006</v>
      </c>
      <c r="AB204" s="6"/>
      <c r="AC204" s="6"/>
      <c r="AD204" s="6"/>
      <c r="AE204" s="6"/>
      <c r="AF204" s="6"/>
      <c r="AG204" s="6"/>
      <c r="AH204" s="6"/>
      <c r="AI204" s="6"/>
      <c r="AJ204" s="6"/>
      <c r="AK204" s="6"/>
      <c r="AL204" s="6"/>
      <c r="AM204" s="6"/>
      <c r="AN204" s="6"/>
      <c r="AO204" s="8">
        <v>38.6</v>
      </c>
      <c r="AP204" s="8">
        <v>38.6</v>
      </c>
      <c r="AQ204" s="6"/>
      <c r="AR204" s="6"/>
      <c r="AS204" s="6"/>
      <c r="AT204" s="6"/>
      <c r="AU204" s="6"/>
      <c r="AV204" s="6"/>
      <c r="AW204" s="6"/>
      <c r="AX204" s="6"/>
      <c r="AY204" s="6"/>
      <c r="AZ204" s="6"/>
      <c r="BA204" s="8">
        <v>8.99</v>
      </c>
      <c r="BB204" s="8">
        <v>8.99</v>
      </c>
      <c r="BC204" s="6"/>
      <c r="BD204" s="6"/>
      <c r="BE204" s="6"/>
      <c r="BF204" s="6"/>
      <c r="BG204" s="6"/>
      <c r="BH204" s="6"/>
      <c r="BI204" s="6"/>
      <c r="BJ204" s="6"/>
      <c r="BK204" s="6"/>
      <c r="BL204" s="8">
        <v>64.709999999999994</v>
      </c>
      <c r="BM204" s="6"/>
      <c r="BN204" s="6"/>
      <c r="BO204" s="6"/>
      <c r="BP204" s="6"/>
      <c r="BQ204" s="6"/>
      <c r="BR204" s="6"/>
      <c r="BS204" s="6"/>
      <c r="BT204" s="6"/>
      <c r="BU204" s="6"/>
      <c r="BV204" s="6"/>
      <c r="BW204" s="6"/>
      <c r="BX204" s="6"/>
      <c r="BY204" s="6"/>
      <c r="BZ204" s="6"/>
      <c r="CA204" s="6"/>
      <c r="CB204" s="6"/>
      <c r="CC204" s="6"/>
      <c r="CD204" s="6"/>
      <c r="CE204" s="6"/>
      <c r="CF204" s="6"/>
      <c r="CG204" s="9">
        <v>64.709999999999994</v>
      </c>
    </row>
    <row r="205" spans="1:85" x14ac:dyDescent="0.3">
      <c r="A205" s="3" t="str">
        <f t="shared" si="5"/>
        <v>NON ADDNSTC Crosscuts (excl. HSA)Quantum Information Science (QIS)QIS-QNET-Quantum Networks and Communications</v>
      </c>
      <c r="B205" s="6" t="s">
        <v>223</v>
      </c>
      <c r="C205" s="6" t="s">
        <v>260</v>
      </c>
      <c r="D205" s="6" t="s">
        <v>280</v>
      </c>
      <c r="E205" s="6" t="s">
        <v>283</v>
      </c>
      <c r="F205" s="6"/>
      <c r="G205" s="6"/>
      <c r="H205" s="6"/>
      <c r="I205" s="6"/>
      <c r="J205" s="6"/>
      <c r="K205" s="6"/>
      <c r="L205" s="6"/>
      <c r="M205" s="6"/>
      <c r="N205" s="6"/>
      <c r="O205" s="6"/>
      <c r="P205" s="6"/>
      <c r="Q205" s="6"/>
      <c r="R205" s="8">
        <v>5.78</v>
      </c>
      <c r="S205" s="8">
        <v>5.78</v>
      </c>
      <c r="T205" s="6"/>
      <c r="U205" s="6"/>
      <c r="V205" s="6"/>
      <c r="W205" s="6"/>
      <c r="X205" s="6"/>
      <c r="Y205" s="6"/>
      <c r="Z205" s="8">
        <v>13.15</v>
      </c>
      <c r="AA205" s="8">
        <v>13.15</v>
      </c>
      <c r="AB205" s="6"/>
      <c r="AC205" s="6"/>
      <c r="AD205" s="6"/>
      <c r="AE205" s="6"/>
      <c r="AF205" s="6"/>
      <c r="AG205" s="6"/>
      <c r="AH205" s="6"/>
      <c r="AI205" s="6"/>
      <c r="AJ205" s="6"/>
      <c r="AK205" s="6"/>
      <c r="AL205" s="6"/>
      <c r="AM205" s="6"/>
      <c r="AN205" s="6"/>
      <c r="AO205" s="8">
        <v>15.96</v>
      </c>
      <c r="AP205" s="8">
        <v>15.96</v>
      </c>
      <c r="AQ205" s="6"/>
      <c r="AR205" s="6"/>
      <c r="AS205" s="6"/>
      <c r="AT205" s="6"/>
      <c r="AU205" s="6"/>
      <c r="AV205" s="6"/>
      <c r="AW205" s="6"/>
      <c r="AX205" s="6"/>
      <c r="AY205" s="6"/>
      <c r="AZ205" s="6"/>
      <c r="BA205" s="8">
        <v>8.6999999999999993</v>
      </c>
      <c r="BB205" s="8">
        <v>8.6999999999999993</v>
      </c>
      <c r="BC205" s="6"/>
      <c r="BD205" s="6"/>
      <c r="BE205" s="6"/>
      <c r="BF205" s="6"/>
      <c r="BG205" s="6"/>
      <c r="BH205" s="6"/>
      <c r="BI205" s="6"/>
      <c r="BJ205" s="6"/>
      <c r="BK205" s="6"/>
      <c r="BL205" s="8">
        <v>43.59</v>
      </c>
      <c r="BM205" s="6"/>
      <c r="BN205" s="6"/>
      <c r="BO205" s="6"/>
      <c r="BP205" s="6"/>
      <c r="BQ205" s="6"/>
      <c r="BR205" s="6"/>
      <c r="BS205" s="6"/>
      <c r="BT205" s="6"/>
      <c r="BU205" s="6"/>
      <c r="BV205" s="6"/>
      <c r="BW205" s="6"/>
      <c r="BX205" s="6"/>
      <c r="BY205" s="6"/>
      <c r="BZ205" s="6"/>
      <c r="CA205" s="6"/>
      <c r="CB205" s="6"/>
      <c r="CC205" s="6"/>
      <c r="CD205" s="6"/>
      <c r="CE205" s="6"/>
      <c r="CF205" s="6"/>
      <c r="CG205" s="9">
        <v>43.59</v>
      </c>
    </row>
    <row r="206" spans="1:85" x14ac:dyDescent="0.3">
      <c r="A206" s="3" t="str">
        <f t="shared" si="5"/>
        <v>NON ADDNSTC Crosscuts (excl. HSA)Quantum Information Science (QIS)QIS-QSENS-Quantum Sensing and Metrology</v>
      </c>
      <c r="B206" s="6" t="s">
        <v>223</v>
      </c>
      <c r="C206" s="6" t="s">
        <v>260</v>
      </c>
      <c r="D206" s="6" t="s">
        <v>280</v>
      </c>
      <c r="E206" s="6" t="s">
        <v>284</v>
      </c>
      <c r="F206" s="6"/>
      <c r="G206" s="6"/>
      <c r="H206" s="6"/>
      <c r="I206" s="6"/>
      <c r="J206" s="6"/>
      <c r="K206" s="8">
        <v>1</v>
      </c>
      <c r="L206" s="8">
        <v>1</v>
      </c>
      <c r="M206" s="6"/>
      <c r="N206" s="6"/>
      <c r="O206" s="6"/>
      <c r="P206" s="6"/>
      <c r="Q206" s="6"/>
      <c r="R206" s="8">
        <v>1.81</v>
      </c>
      <c r="S206" s="8">
        <v>1.81</v>
      </c>
      <c r="T206" s="6"/>
      <c r="U206" s="6"/>
      <c r="V206" s="6"/>
      <c r="W206" s="6"/>
      <c r="X206" s="6"/>
      <c r="Y206" s="6"/>
      <c r="Z206" s="6"/>
      <c r="AA206" s="6"/>
      <c r="AB206" s="6"/>
      <c r="AC206" s="6"/>
      <c r="AD206" s="6"/>
      <c r="AE206" s="6"/>
      <c r="AF206" s="6"/>
      <c r="AG206" s="6"/>
      <c r="AH206" s="6"/>
      <c r="AI206" s="6"/>
      <c r="AJ206" s="6"/>
      <c r="AK206" s="6"/>
      <c r="AL206" s="6"/>
      <c r="AM206" s="6"/>
      <c r="AN206" s="6"/>
      <c r="AO206" s="8">
        <v>36.58</v>
      </c>
      <c r="AP206" s="8">
        <v>36.58</v>
      </c>
      <c r="AQ206" s="6"/>
      <c r="AR206" s="6"/>
      <c r="AS206" s="6"/>
      <c r="AT206" s="6"/>
      <c r="AU206" s="6"/>
      <c r="AV206" s="6"/>
      <c r="AW206" s="6"/>
      <c r="AX206" s="6"/>
      <c r="AY206" s="6"/>
      <c r="AZ206" s="6"/>
      <c r="BA206" s="8">
        <v>2.92</v>
      </c>
      <c r="BB206" s="8">
        <v>2.92</v>
      </c>
      <c r="BC206" s="6"/>
      <c r="BD206" s="6"/>
      <c r="BE206" s="6"/>
      <c r="BF206" s="6"/>
      <c r="BG206" s="6"/>
      <c r="BH206" s="6"/>
      <c r="BI206" s="6"/>
      <c r="BJ206" s="6"/>
      <c r="BK206" s="6"/>
      <c r="BL206" s="8">
        <v>42.31</v>
      </c>
      <c r="BM206" s="6"/>
      <c r="BN206" s="6"/>
      <c r="BO206" s="6"/>
      <c r="BP206" s="6"/>
      <c r="BQ206" s="6"/>
      <c r="BR206" s="6"/>
      <c r="BS206" s="6"/>
      <c r="BT206" s="6"/>
      <c r="BU206" s="6"/>
      <c r="BV206" s="6"/>
      <c r="BW206" s="6"/>
      <c r="BX206" s="6"/>
      <c r="BY206" s="6"/>
      <c r="BZ206" s="6"/>
      <c r="CA206" s="6"/>
      <c r="CB206" s="6"/>
      <c r="CC206" s="6"/>
      <c r="CD206" s="6"/>
      <c r="CE206" s="6"/>
      <c r="CF206" s="6"/>
      <c r="CG206" s="9">
        <v>42.31</v>
      </c>
    </row>
    <row r="207" spans="1:85" x14ac:dyDescent="0.3">
      <c r="A207" s="3" t="str">
        <f t="shared" si="5"/>
        <v>NON ADDNSTC Crosscuts (excl. HSA)Quantum Information Science (QIS)QIS-QTAPP-Future Applications</v>
      </c>
      <c r="B207" s="6" t="s">
        <v>223</v>
      </c>
      <c r="C207" s="6" t="s">
        <v>260</v>
      </c>
      <c r="D207" s="6" t="s">
        <v>280</v>
      </c>
      <c r="E207" s="6" t="s">
        <v>285</v>
      </c>
      <c r="F207" s="6"/>
      <c r="G207" s="6"/>
      <c r="H207" s="6"/>
      <c r="I207" s="6"/>
      <c r="J207" s="6"/>
      <c r="K207" s="8">
        <v>1.28</v>
      </c>
      <c r="L207" s="8">
        <v>1.28</v>
      </c>
      <c r="M207" s="6"/>
      <c r="N207" s="6"/>
      <c r="O207" s="6"/>
      <c r="P207" s="6"/>
      <c r="Q207" s="6"/>
      <c r="R207" s="6"/>
      <c r="S207" s="6"/>
      <c r="T207" s="6"/>
      <c r="U207" s="6"/>
      <c r="V207" s="6"/>
      <c r="W207" s="6"/>
      <c r="X207" s="6"/>
      <c r="Y207" s="6"/>
      <c r="Z207" s="8">
        <v>4.9400000000000004</v>
      </c>
      <c r="AA207" s="8">
        <v>4.9400000000000004</v>
      </c>
      <c r="AB207" s="6"/>
      <c r="AC207" s="6"/>
      <c r="AD207" s="6"/>
      <c r="AE207" s="6"/>
      <c r="AF207" s="6"/>
      <c r="AG207" s="6"/>
      <c r="AH207" s="6"/>
      <c r="AI207" s="6"/>
      <c r="AJ207" s="6"/>
      <c r="AK207" s="6"/>
      <c r="AL207" s="6"/>
      <c r="AM207" s="6"/>
      <c r="AN207" s="6"/>
      <c r="AO207" s="8">
        <v>2.75</v>
      </c>
      <c r="AP207" s="8">
        <v>2.75</v>
      </c>
      <c r="AQ207" s="6"/>
      <c r="AR207" s="6"/>
      <c r="AS207" s="6"/>
      <c r="AT207" s="6"/>
      <c r="AU207" s="6"/>
      <c r="AV207" s="6"/>
      <c r="AW207" s="6"/>
      <c r="AX207" s="6"/>
      <c r="AY207" s="6"/>
      <c r="AZ207" s="6"/>
      <c r="BA207" s="8">
        <v>12.64</v>
      </c>
      <c r="BB207" s="8">
        <v>12.64</v>
      </c>
      <c r="BC207" s="6"/>
      <c r="BD207" s="6"/>
      <c r="BE207" s="6"/>
      <c r="BF207" s="6"/>
      <c r="BG207" s="6"/>
      <c r="BH207" s="6"/>
      <c r="BI207" s="6"/>
      <c r="BJ207" s="6"/>
      <c r="BK207" s="6"/>
      <c r="BL207" s="8">
        <v>21.61</v>
      </c>
      <c r="BM207" s="6"/>
      <c r="BN207" s="6"/>
      <c r="BO207" s="6"/>
      <c r="BP207" s="6"/>
      <c r="BQ207" s="6"/>
      <c r="BR207" s="6"/>
      <c r="BS207" s="6"/>
      <c r="BT207" s="6"/>
      <c r="BU207" s="6"/>
      <c r="BV207" s="6"/>
      <c r="BW207" s="6"/>
      <c r="BX207" s="6"/>
      <c r="BY207" s="6"/>
      <c r="BZ207" s="6"/>
      <c r="CA207" s="6"/>
      <c r="CB207" s="6"/>
      <c r="CC207" s="6"/>
      <c r="CD207" s="6"/>
      <c r="CE207" s="6"/>
      <c r="CF207" s="6"/>
      <c r="CG207" s="9">
        <v>21.61</v>
      </c>
    </row>
    <row r="208" spans="1:85" x14ac:dyDescent="0.3">
      <c r="A208" s="3" t="str">
        <f t="shared" si="5"/>
        <v>NON ADDNSTC Crosscuts (excl. HSA)Quantum Information Science (QIS)QIS-QTRM-Risk Mitigation</v>
      </c>
      <c r="B208" s="6" t="s">
        <v>223</v>
      </c>
      <c r="C208" s="6" t="s">
        <v>260</v>
      </c>
      <c r="D208" s="6" t="s">
        <v>280</v>
      </c>
      <c r="E208" s="6" t="s">
        <v>286</v>
      </c>
      <c r="F208" s="6"/>
      <c r="G208" s="6"/>
      <c r="H208" s="6"/>
      <c r="I208" s="6"/>
      <c r="J208" s="6"/>
      <c r="K208" s="6"/>
      <c r="L208" s="6"/>
      <c r="M208" s="6"/>
      <c r="N208" s="6"/>
      <c r="O208" s="6"/>
      <c r="P208" s="6"/>
      <c r="Q208" s="6"/>
      <c r="R208" s="8">
        <v>3.89</v>
      </c>
      <c r="S208" s="8">
        <v>3.89</v>
      </c>
      <c r="T208" s="6"/>
      <c r="U208" s="6"/>
      <c r="V208" s="6"/>
      <c r="W208" s="6"/>
      <c r="X208" s="6"/>
      <c r="Y208" s="6"/>
      <c r="Z208" s="8">
        <v>0.66</v>
      </c>
      <c r="AA208" s="8">
        <v>0.66</v>
      </c>
      <c r="AB208" s="6"/>
      <c r="AC208" s="6"/>
      <c r="AD208" s="6"/>
      <c r="AE208" s="6"/>
      <c r="AF208" s="6"/>
      <c r="AG208" s="6"/>
      <c r="AH208" s="6"/>
      <c r="AI208" s="6"/>
      <c r="AJ208" s="6"/>
      <c r="AK208" s="6"/>
      <c r="AL208" s="6"/>
      <c r="AM208" s="6"/>
      <c r="AN208" s="6"/>
      <c r="AO208" s="8">
        <v>5.01</v>
      </c>
      <c r="AP208" s="8">
        <v>5.01</v>
      </c>
      <c r="AQ208" s="6"/>
      <c r="AR208" s="6"/>
      <c r="AS208" s="6"/>
      <c r="AT208" s="6"/>
      <c r="AU208" s="6"/>
      <c r="AV208" s="6"/>
      <c r="AW208" s="6"/>
      <c r="AX208" s="6"/>
      <c r="AY208" s="6"/>
      <c r="AZ208" s="6"/>
      <c r="BA208" s="8">
        <v>1.52</v>
      </c>
      <c r="BB208" s="8">
        <v>1.52</v>
      </c>
      <c r="BC208" s="6"/>
      <c r="BD208" s="6"/>
      <c r="BE208" s="6"/>
      <c r="BF208" s="6"/>
      <c r="BG208" s="6"/>
      <c r="BH208" s="6"/>
      <c r="BI208" s="6"/>
      <c r="BJ208" s="6"/>
      <c r="BK208" s="6"/>
      <c r="BL208" s="8">
        <v>11.08</v>
      </c>
      <c r="BM208" s="6"/>
      <c r="BN208" s="6"/>
      <c r="BO208" s="6"/>
      <c r="BP208" s="6"/>
      <c r="BQ208" s="6"/>
      <c r="BR208" s="6"/>
      <c r="BS208" s="6"/>
      <c r="BT208" s="6"/>
      <c r="BU208" s="6"/>
      <c r="BV208" s="6"/>
      <c r="BW208" s="6"/>
      <c r="BX208" s="6"/>
      <c r="BY208" s="6"/>
      <c r="BZ208" s="6"/>
      <c r="CA208" s="6"/>
      <c r="CB208" s="6"/>
      <c r="CC208" s="6"/>
      <c r="CD208" s="6"/>
      <c r="CE208" s="6"/>
      <c r="CF208" s="6"/>
      <c r="CG208" s="9">
        <v>11.08</v>
      </c>
    </row>
    <row r="209" spans="1:85" x14ac:dyDescent="0.3">
      <c r="A209" s="3" t="str">
        <f t="shared" si="5"/>
        <v>NON ADDNSTC Crosscuts (excl. HSA)Quantum Information Science (QIS)QIS-QTSUP-Supporting Technology</v>
      </c>
      <c r="B209" s="6" t="s">
        <v>223</v>
      </c>
      <c r="C209" s="6" t="s">
        <v>260</v>
      </c>
      <c r="D209" s="6" t="s">
        <v>280</v>
      </c>
      <c r="E209" s="6" t="s">
        <v>287</v>
      </c>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8">
        <v>3.45</v>
      </c>
      <c r="AP209" s="8">
        <v>3.45</v>
      </c>
      <c r="AQ209" s="6"/>
      <c r="AR209" s="6"/>
      <c r="AS209" s="6"/>
      <c r="AT209" s="6"/>
      <c r="AU209" s="6"/>
      <c r="AV209" s="6"/>
      <c r="AW209" s="6"/>
      <c r="AX209" s="6"/>
      <c r="AY209" s="6"/>
      <c r="AZ209" s="6"/>
      <c r="BA209" s="8">
        <v>1.25</v>
      </c>
      <c r="BB209" s="8">
        <v>1.25</v>
      </c>
      <c r="BC209" s="6"/>
      <c r="BD209" s="6"/>
      <c r="BE209" s="6"/>
      <c r="BF209" s="6"/>
      <c r="BG209" s="6"/>
      <c r="BH209" s="6"/>
      <c r="BI209" s="6"/>
      <c r="BJ209" s="6"/>
      <c r="BK209" s="6"/>
      <c r="BL209" s="8">
        <v>4.7</v>
      </c>
      <c r="BM209" s="6"/>
      <c r="BN209" s="6"/>
      <c r="BO209" s="6"/>
      <c r="BP209" s="6"/>
      <c r="BQ209" s="6"/>
      <c r="BR209" s="6"/>
      <c r="BS209" s="6"/>
      <c r="BT209" s="6"/>
      <c r="BU209" s="6"/>
      <c r="BV209" s="6"/>
      <c r="BW209" s="6"/>
      <c r="BX209" s="6"/>
      <c r="BY209" s="6"/>
      <c r="BZ209" s="6"/>
      <c r="CA209" s="6"/>
      <c r="CB209" s="6"/>
      <c r="CC209" s="6"/>
      <c r="CD209" s="6"/>
      <c r="CE209" s="6"/>
      <c r="CF209" s="6"/>
      <c r="CG209" s="9">
        <v>4.7</v>
      </c>
    </row>
    <row r="210" spans="1:85" x14ac:dyDescent="0.3">
      <c r="A210" s="3" t="str">
        <f t="shared" si="5"/>
        <v>NON ADDNSTC Crosscuts (excl. HSA)U.S. Global Change Research Program (USGCRP)Total</v>
      </c>
      <c r="B210" s="6" t="s">
        <v>223</v>
      </c>
      <c r="C210" s="6" t="s">
        <v>260</v>
      </c>
      <c r="D210" s="6" t="s">
        <v>288</v>
      </c>
      <c r="E210" s="6" t="s">
        <v>24</v>
      </c>
      <c r="F210" s="6"/>
      <c r="G210" s="6"/>
      <c r="H210" s="6"/>
      <c r="I210" s="6"/>
      <c r="J210" s="6"/>
      <c r="K210" s="8">
        <v>237.15</v>
      </c>
      <c r="L210" s="8">
        <v>237.15</v>
      </c>
      <c r="M210" s="6"/>
      <c r="N210" s="6"/>
      <c r="O210" s="6"/>
      <c r="P210" s="6"/>
      <c r="Q210" s="6"/>
      <c r="R210" s="8">
        <v>40</v>
      </c>
      <c r="S210" s="8">
        <v>40</v>
      </c>
      <c r="T210" s="6"/>
      <c r="U210" s="6"/>
      <c r="V210" s="6"/>
      <c r="W210" s="6"/>
      <c r="X210" s="6"/>
      <c r="Y210" s="6"/>
      <c r="Z210" s="6"/>
      <c r="AA210" s="6"/>
      <c r="AB210" s="6"/>
      <c r="AC210" s="6"/>
      <c r="AD210" s="6"/>
      <c r="AE210" s="8">
        <v>56.11</v>
      </c>
      <c r="AF210" s="8">
        <v>33.67</v>
      </c>
      <c r="AG210" s="8">
        <v>481.7</v>
      </c>
      <c r="AH210" s="8">
        <v>571.48</v>
      </c>
      <c r="AI210" s="6"/>
      <c r="AJ210" s="8">
        <v>11.7</v>
      </c>
      <c r="AK210" s="6"/>
      <c r="AL210" s="8">
        <v>2.93</v>
      </c>
      <c r="AM210" s="8">
        <v>20</v>
      </c>
      <c r="AN210" s="6"/>
      <c r="AO210" s="6"/>
      <c r="AP210" s="8">
        <v>34.630000000000003</v>
      </c>
      <c r="AQ210" s="8">
        <v>0</v>
      </c>
      <c r="AR210" s="6"/>
      <c r="AS210" s="8">
        <v>0</v>
      </c>
      <c r="AT210" s="8">
        <v>0</v>
      </c>
      <c r="AU210" s="8">
        <v>25.14</v>
      </c>
      <c r="AV210" s="8">
        <v>25.14</v>
      </c>
      <c r="AW210" s="6"/>
      <c r="AX210" s="6"/>
      <c r="AY210" s="6"/>
      <c r="AZ210" s="6"/>
      <c r="BA210" s="6"/>
      <c r="BB210" s="6"/>
      <c r="BC210" s="8">
        <v>5</v>
      </c>
      <c r="BD210" s="8">
        <v>5</v>
      </c>
      <c r="BE210" s="6"/>
      <c r="BF210" s="6"/>
      <c r="BG210" s="6"/>
      <c r="BH210" s="6"/>
      <c r="BI210" s="6"/>
      <c r="BJ210" s="6"/>
      <c r="BK210" s="6"/>
      <c r="BL210" s="8">
        <v>913.4</v>
      </c>
      <c r="BM210" s="6"/>
      <c r="BN210" s="6"/>
      <c r="BO210" s="6"/>
      <c r="BP210" s="6"/>
      <c r="BQ210" s="6"/>
      <c r="BR210" s="6"/>
      <c r="BS210" s="6"/>
      <c r="BT210" s="6"/>
      <c r="BU210" s="6"/>
      <c r="BV210" s="6"/>
      <c r="BW210" s="6"/>
      <c r="BX210" s="6"/>
      <c r="BY210" s="6"/>
      <c r="BZ210" s="6"/>
      <c r="CA210" s="6"/>
      <c r="CB210" s="6"/>
      <c r="CC210" s="6"/>
      <c r="CD210" s="6"/>
      <c r="CE210" s="6"/>
      <c r="CF210" s="6"/>
      <c r="CG210" s="9">
        <v>913.4</v>
      </c>
    </row>
    <row r="211" spans="1:85" x14ac:dyDescent="0.3">
      <c r="A211" s="3" t="str">
        <f t="shared" si="5"/>
        <v>NON ADDNSTC Crosscuts (excl. HSA)U.S. Global Change Research Program (USGCRP)USGCRP-Communication and Education</v>
      </c>
      <c r="B211" s="6" t="s">
        <v>223</v>
      </c>
      <c r="C211" s="6" t="s">
        <v>260</v>
      </c>
      <c r="D211" s="6" t="s">
        <v>288</v>
      </c>
      <c r="E211" s="6" t="s">
        <v>289</v>
      </c>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8">
        <v>0</v>
      </c>
      <c r="AG211" s="6"/>
      <c r="AH211" s="8">
        <v>0</v>
      </c>
      <c r="AI211" s="6"/>
      <c r="AJ211" s="6"/>
      <c r="AK211" s="6"/>
      <c r="AL211" s="6"/>
      <c r="AM211" s="8">
        <v>0</v>
      </c>
      <c r="AN211" s="6"/>
      <c r="AO211" s="6"/>
      <c r="AP211" s="8">
        <v>0</v>
      </c>
      <c r="AQ211" s="6"/>
      <c r="AR211" s="6"/>
      <c r="AS211" s="8">
        <v>0</v>
      </c>
      <c r="AT211" s="6"/>
      <c r="AU211" s="6"/>
      <c r="AV211" s="8">
        <v>0</v>
      </c>
      <c r="AW211" s="6"/>
      <c r="AX211" s="6"/>
      <c r="AY211" s="6"/>
      <c r="AZ211" s="6"/>
      <c r="BA211" s="6"/>
      <c r="BB211" s="6"/>
      <c r="BC211" s="6"/>
      <c r="BD211" s="6"/>
      <c r="BE211" s="6"/>
      <c r="BF211" s="6"/>
      <c r="BG211" s="6"/>
      <c r="BH211" s="6"/>
      <c r="BI211" s="6"/>
      <c r="BJ211" s="6"/>
      <c r="BK211" s="6"/>
      <c r="BL211" s="8">
        <v>0</v>
      </c>
      <c r="BM211" s="6"/>
      <c r="BN211" s="6"/>
      <c r="BO211" s="6"/>
      <c r="BP211" s="6"/>
      <c r="BQ211" s="6"/>
      <c r="BR211" s="6"/>
      <c r="BS211" s="6"/>
      <c r="BT211" s="6"/>
      <c r="BU211" s="6"/>
      <c r="BV211" s="6"/>
      <c r="BW211" s="6"/>
      <c r="BX211" s="6"/>
      <c r="BY211" s="6"/>
      <c r="BZ211" s="6"/>
      <c r="CA211" s="6"/>
      <c r="CB211" s="6"/>
      <c r="CC211" s="6"/>
      <c r="CD211" s="6"/>
      <c r="CE211" s="6"/>
      <c r="CF211" s="6"/>
      <c r="CG211" s="9">
        <v>0</v>
      </c>
    </row>
    <row r="212" spans="1:85" x14ac:dyDescent="0.3">
      <c r="A212" s="3" t="str">
        <f t="shared" si="5"/>
        <v>NON ADDNSTC Crosscuts (excl. HSA)U.S. Global Change Research Program (USGCRP)USGCRP-Information Management and Sharing</v>
      </c>
      <c r="B212" s="6" t="s">
        <v>223</v>
      </c>
      <c r="C212" s="6" t="s">
        <v>260</v>
      </c>
      <c r="D212" s="6" t="s">
        <v>288</v>
      </c>
      <c r="E212" s="6" t="s">
        <v>354</v>
      </c>
      <c r="F212" s="6"/>
      <c r="G212" s="6"/>
      <c r="H212" s="6"/>
      <c r="I212" s="6"/>
      <c r="J212" s="6"/>
      <c r="K212" s="6"/>
      <c r="L212" s="6"/>
      <c r="M212" s="6"/>
      <c r="N212" s="6"/>
      <c r="O212" s="6"/>
      <c r="P212" s="6"/>
      <c r="Q212" s="6"/>
      <c r="R212" s="8">
        <v>40</v>
      </c>
      <c r="S212" s="8">
        <v>40</v>
      </c>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8">
        <v>40</v>
      </c>
      <c r="BM212" s="6"/>
      <c r="BN212" s="6"/>
      <c r="BO212" s="6"/>
      <c r="BP212" s="6"/>
      <c r="BQ212" s="6"/>
      <c r="BR212" s="6"/>
      <c r="BS212" s="6"/>
      <c r="BT212" s="6"/>
      <c r="BU212" s="6"/>
      <c r="BV212" s="6"/>
      <c r="BW212" s="6"/>
      <c r="BX212" s="6"/>
      <c r="BY212" s="6"/>
      <c r="BZ212" s="6"/>
      <c r="CA212" s="6"/>
      <c r="CB212" s="6"/>
      <c r="CC212" s="6"/>
      <c r="CD212" s="6"/>
      <c r="CE212" s="6"/>
      <c r="CF212" s="6"/>
      <c r="CG212" s="9">
        <v>40</v>
      </c>
    </row>
    <row r="213" spans="1:85" x14ac:dyDescent="0.3">
      <c r="A213" s="3" t="str">
        <f t="shared" si="5"/>
        <v>NON ADDNSTC Crosscuts (excl. HSA)U.S. Global Change Research Program (USGCRP)USGCRP-Integrated Modeling</v>
      </c>
      <c r="B213" s="6" t="s">
        <v>223</v>
      </c>
      <c r="C213" s="6" t="s">
        <v>260</v>
      </c>
      <c r="D213" s="6" t="s">
        <v>288</v>
      </c>
      <c r="E213" s="6" t="s">
        <v>290</v>
      </c>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8">
        <v>9.51</v>
      </c>
      <c r="AF213" s="6"/>
      <c r="AG213" s="8">
        <v>38.69</v>
      </c>
      <c r="AH213" s="8">
        <v>48.2</v>
      </c>
      <c r="AI213" s="6"/>
      <c r="AJ213" s="8">
        <v>11.7</v>
      </c>
      <c r="AK213" s="6"/>
      <c r="AL213" s="8">
        <v>2.93</v>
      </c>
      <c r="AM213" s="8">
        <v>0</v>
      </c>
      <c r="AN213" s="6"/>
      <c r="AO213" s="6"/>
      <c r="AP213" s="8">
        <v>14.63</v>
      </c>
      <c r="AQ213" s="8">
        <v>0</v>
      </c>
      <c r="AR213" s="6"/>
      <c r="AS213" s="6"/>
      <c r="AT213" s="8">
        <v>0</v>
      </c>
      <c r="AU213" s="8">
        <v>4.46</v>
      </c>
      <c r="AV213" s="8">
        <v>4.46</v>
      </c>
      <c r="AW213" s="6"/>
      <c r="AX213" s="6"/>
      <c r="AY213" s="6"/>
      <c r="AZ213" s="6"/>
      <c r="BA213" s="6"/>
      <c r="BB213" s="6"/>
      <c r="BC213" s="6"/>
      <c r="BD213" s="6"/>
      <c r="BE213" s="6"/>
      <c r="BF213" s="6"/>
      <c r="BG213" s="6"/>
      <c r="BH213" s="6"/>
      <c r="BI213" s="6"/>
      <c r="BJ213" s="6"/>
      <c r="BK213" s="6"/>
      <c r="BL213" s="8">
        <v>67.290000000000006</v>
      </c>
      <c r="BM213" s="6"/>
      <c r="BN213" s="6"/>
      <c r="BO213" s="6"/>
      <c r="BP213" s="6"/>
      <c r="BQ213" s="6"/>
      <c r="BR213" s="6"/>
      <c r="BS213" s="6"/>
      <c r="BT213" s="6"/>
      <c r="BU213" s="6"/>
      <c r="BV213" s="6"/>
      <c r="BW213" s="6"/>
      <c r="BX213" s="6"/>
      <c r="BY213" s="6"/>
      <c r="BZ213" s="6"/>
      <c r="CA213" s="6"/>
      <c r="CB213" s="6"/>
      <c r="CC213" s="6"/>
      <c r="CD213" s="6"/>
      <c r="CE213" s="6"/>
      <c r="CF213" s="6"/>
      <c r="CG213" s="9">
        <v>67.290000000000006</v>
      </c>
    </row>
    <row r="214" spans="1:85" x14ac:dyDescent="0.3">
      <c r="A214" s="3" t="str">
        <f t="shared" si="5"/>
        <v>NON ADDNSTC Crosscuts (excl. HSA)U.S. Global Change Research Program (USGCRP)USGCRP-Integrated Observations</v>
      </c>
      <c r="B214" s="6" t="s">
        <v>223</v>
      </c>
      <c r="C214" s="6" t="s">
        <v>260</v>
      </c>
      <c r="D214" s="6" t="s">
        <v>288</v>
      </c>
      <c r="E214" s="6" t="s">
        <v>291</v>
      </c>
      <c r="F214" s="6"/>
      <c r="G214" s="6"/>
      <c r="H214" s="6"/>
      <c r="I214" s="6"/>
      <c r="J214" s="6"/>
      <c r="K214" s="8">
        <v>70</v>
      </c>
      <c r="L214" s="8">
        <v>70</v>
      </c>
      <c r="M214" s="6"/>
      <c r="N214" s="6"/>
      <c r="O214" s="6"/>
      <c r="P214" s="6"/>
      <c r="Q214" s="6"/>
      <c r="R214" s="6"/>
      <c r="S214" s="6"/>
      <c r="T214" s="6"/>
      <c r="U214" s="6"/>
      <c r="V214" s="6"/>
      <c r="W214" s="6"/>
      <c r="X214" s="6"/>
      <c r="Y214" s="6"/>
      <c r="Z214" s="6"/>
      <c r="AA214" s="6"/>
      <c r="AB214" s="6"/>
      <c r="AC214" s="6"/>
      <c r="AD214" s="6"/>
      <c r="AE214" s="8">
        <v>29.94</v>
      </c>
      <c r="AF214" s="6"/>
      <c r="AG214" s="8">
        <v>94.77</v>
      </c>
      <c r="AH214" s="8">
        <v>124.71</v>
      </c>
      <c r="AI214" s="6"/>
      <c r="AJ214" s="6"/>
      <c r="AK214" s="6"/>
      <c r="AL214" s="6"/>
      <c r="AM214" s="8">
        <v>0</v>
      </c>
      <c r="AN214" s="6"/>
      <c r="AO214" s="6"/>
      <c r="AP214" s="8">
        <v>0</v>
      </c>
      <c r="AQ214" s="6"/>
      <c r="AR214" s="6"/>
      <c r="AS214" s="8">
        <v>0</v>
      </c>
      <c r="AT214" s="6"/>
      <c r="AU214" s="6"/>
      <c r="AV214" s="8">
        <v>0</v>
      </c>
      <c r="AW214" s="6"/>
      <c r="AX214" s="6"/>
      <c r="AY214" s="6"/>
      <c r="AZ214" s="6"/>
      <c r="BA214" s="6"/>
      <c r="BB214" s="6"/>
      <c r="BC214" s="6"/>
      <c r="BD214" s="6"/>
      <c r="BE214" s="6"/>
      <c r="BF214" s="6"/>
      <c r="BG214" s="6"/>
      <c r="BH214" s="6"/>
      <c r="BI214" s="6"/>
      <c r="BJ214" s="6"/>
      <c r="BK214" s="6"/>
      <c r="BL214" s="8">
        <v>194.71</v>
      </c>
      <c r="BM214" s="6"/>
      <c r="BN214" s="6"/>
      <c r="BO214" s="6"/>
      <c r="BP214" s="6"/>
      <c r="BQ214" s="6"/>
      <c r="BR214" s="6"/>
      <c r="BS214" s="6"/>
      <c r="BT214" s="6"/>
      <c r="BU214" s="6"/>
      <c r="BV214" s="6"/>
      <c r="BW214" s="6"/>
      <c r="BX214" s="6"/>
      <c r="BY214" s="6"/>
      <c r="BZ214" s="6"/>
      <c r="CA214" s="6"/>
      <c r="CB214" s="6"/>
      <c r="CC214" s="6"/>
      <c r="CD214" s="6"/>
      <c r="CE214" s="6"/>
      <c r="CF214" s="6"/>
      <c r="CG214" s="9">
        <v>194.71</v>
      </c>
    </row>
    <row r="215" spans="1:85" x14ac:dyDescent="0.3">
      <c r="A215" s="3" t="str">
        <f t="shared" si="5"/>
        <v>NON ADDNSTC Crosscuts (excl. HSA)U.S. Global Change Research Program (USGCRP)USGCRP-Multidisciplinary Earth and Human System Understanding</v>
      </c>
      <c r="B215" s="6" t="s">
        <v>223</v>
      </c>
      <c r="C215" s="6" t="s">
        <v>260</v>
      </c>
      <c r="D215" s="6" t="s">
        <v>288</v>
      </c>
      <c r="E215" s="6" t="s">
        <v>292</v>
      </c>
      <c r="F215" s="6"/>
      <c r="G215" s="6"/>
      <c r="H215" s="6"/>
      <c r="I215" s="6"/>
      <c r="J215" s="6"/>
      <c r="K215" s="8">
        <v>167.15</v>
      </c>
      <c r="L215" s="8">
        <v>167.15</v>
      </c>
      <c r="M215" s="6"/>
      <c r="N215" s="6"/>
      <c r="O215" s="6"/>
      <c r="P215" s="6"/>
      <c r="Q215" s="6"/>
      <c r="R215" s="6"/>
      <c r="S215" s="6"/>
      <c r="T215" s="6"/>
      <c r="U215" s="6"/>
      <c r="V215" s="6"/>
      <c r="W215" s="6"/>
      <c r="X215" s="6"/>
      <c r="Y215" s="6"/>
      <c r="Z215" s="6"/>
      <c r="AA215" s="6"/>
      <c r="AB215" s="6"/>
      <c r="AC215" s="6"/>
      <c r="AD215" s="6"/>
      <c r="AE215" s="8">
        <v>16.66</v>
      </c>
      <c r="AF215" s="8">
        <v>33.67</v>
      </c>
      <c r="AG215" s="8">
        <v>342.24</v>
      </c>
      <c r="AH215" s="8">
        <v>392.57</v>
      </c>
      <c r="AI215" s="6"/>
      <c r="AJ215" s="6"/>
      <c r="AK215" s="6"/>
      <c r="AL215" s="6"/>
      <c r="AM215" s="8">
        <v>20</v>
      </c>
      <c r="AN215" s="6"/>
      <c r="AO215" s="6"/>
      <c r="AP215" s="8">
        <v>20</v>
      </c>
      <c r="AQ215" s="8">
        <v>0</v>
      </c>
      <c r="AR215" s="6"/>
      <c r="AS215" s="6"/>
      <c r="AT215" s="8">
        <v>0</v>
      </c>
      <c r="AU215" s="8">
        <v>12.98</v>
      </c>
      <c r="AV215" s="8">
        <v>12.98</v>
      </c>
      <c r="AW215" s="6"/>
      <c r="AX215" s="6"/>
      <c r="AY215" s="6"/>
      <c r="AZ215" s="6"/>
      <c r="BA215" s="6"/>
      <c r="BB215" s="6"/>
      <c r="BC215" s="8">
        <v>5</v>
      </c>
      <c r="BD215" s="8">
        <v>5</v>
      </c>
      <c r="BE215" s="6"/>
      <c r="BF215" s="6"/>
      <c r="BG215" s="6"/>
      <c r="BH215" s="6"/>
      <c r="BI215" s="6"/>
      <c r="BJ215" s="6"/>
      <c r="BK215" s="6"/>
      <c r="BL215" s="8">
        <v>597.70000000000005</v>
      </c>
      <c r="BM215" s="6"/>
      <c r="BN215" s="6"/>
      <c r="BO215" s="6"/>
      <c r="BP215" s="6"/>
      <c r="BQ215" s="6"/>
      <c r="BR215" s="6"/>
      <c r="BS215" s="6"/>
      <c r="BT215" s="6"/>
      <c r="BU215" s="6"/>
      <c r="BV215" s="6"/>
      <c r="BW215" s="6"/>
      <c r="BX215" s="6"/>
      <c r="BY215" s="6"/>
      <c r="BZ215" s="6"/>
      <c r="CA215" s="6"/>
      <c r="CB215" s="6"/>
      <c r="CC215" s="6"/>
      <c r="CD215" s="6"/>
      <c r="CE215" s="6"/>
      <c r="CF215" s="6"/>
      <c r="CG215" s="9">
        <v>597.70000000000005</v>
      </c>
    </row>
    <row r="216" spans="1:85" x14ac:dyDescent="0.3">
      <c r="A216" s="3" t="str">
        <f t="shared" si="5"/>
        <v>NON ADDNSTC Crosscuts (excl. HSA)U.S. Global Change Research Program (USGCRP)USGCRP-Science of Adaptation and Science to Inform Adaptation Decisions</v>
      </c>
      <c r="B216" s="6" t="s">
        <v>223</v>
      </c>
      <c r="C216" s="6" t="s">
        <v>260</v>
      </c>
      <c r="D216" s="6" t="s">
        <v>288</v>
      </c>
      <c r="E216" s="6" t="s">
        <v>293</v>
      </c>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8">
        <v>0</v>
      </c>
      <c r="AF216" s="6"/>
      <c r="AG216" s="8">
        <v>6</v>
      </c>
      <c r="AH216" s="8">
        <v>6</v>
      </c>
      <c r="AI216" s="6"/>
      <c r="AJ216" s="6"/>
      <c r="AK216" s="6"/>
      <c r="AL216" s="6"/>
      <c r="AM216" s="8">
        <v>0</v>
      </c>
      <c r="AN216" s="6"/>
      <c r="AO216" s="6"/>
      <c r="AP216" s="8">
        <v>0</v>
      </c>
      <c r="AQ216" s="8">
        <v>0</v>
      </c>
      <c r="AR216" s="6"/>
      <c r="AS216" s="6"/>
      <c r="AT216" s="8">
        <v>0</v>
      </c>
      <c r="AU216" s="8">
        <v>7.7</v>
      </c>
      <c r="AV216" s="8">
        <v>7.7</v>
      </c>
      <c r="AW216" s="6"/>
      <c r="AX216" s="6"/>
      <c r="AY216" s="6"/>
      <c r="AZ216" s="6"/>
      <c r="BA216" s="6"/>
      <c r="BB216" s="6"/>
      <c r="BC216" s="6"/>
      <c r="BD216" s="6"/>
      <c r="BE216" s="6"/>
      <c r="BF216" s="6"/>
      <c r="BG216" s="6"/>
      <c r="BH216" s="6"/>
      <c r="BI216" s="6"/>
      <c r="BJ216" s="6"/>
      <c r="BK216" s="6"/>
      <c r="BL216" s="8">
        <v>13.7</v>
      </c>
      <c r="BM216" s="6"/>
      <c r="BN216" s="6"/>
      <c r="BO216" s="6"/>
      <c r="BP216" s="6"/>
      <c r="BQ216" s="6"/>
      <c r="BR216" s="6"/>
      <c r="BS216" s="6"/>
      <c r="BT216" s="6"/>
      <c r="BU216" s="6"/>
      <c r="BV216" s="6"/>
      <c r="BW216" s="6"/>
      <c r="BX216" s="6"/>
      <c r="BY216" s="6"/>
      <c r="BZ216" s="6"/>
      <c r="CA216" s="6"/>
      <c r="CB216" s="6"/>
      <c r="CC216" s="6"/>
      <c r="CD216" s="6"/>
      <c r="CE216" s="6"/>
      <c r="CF216" s="6"/>
      <c r="CG216" s="9">
        <v>13.7</v>
      </c>
    </row>
    <row r="217" spans="1:85" x14ac:dyDescent="0.3">
      <c r="A217" s="3" t="str">
        <f t="shared" si="5"/>
        <v>NON ADDOther Non-ADDTotalTotal</v>
      </c>
      <c r="B217" s="6" t="s">
        <v>223</v>
      </c>
      <c r="C217" s="6" t="s">
        <v>294</v>
      </c>
      <c r="D217" s="6" t="s">
        <v>24</v>
      </c>
      <c r="E217" s="6" t="s">
        <v>24</v>
      </c>
      <c r="F217" s="8">
        <v>0</v>
      </c>
      <c r="G217" s="8">
        <v>0</v>
      </c>
      <c r="H217" s="6"/>
      <c r="I217" s="8">
        <v>0</v>
      </c>
      <c r="J217" s="8">
        <v>0</v>
      </c>
      <c r="K217" s="8">
        <v>225.76</v>
      </c>
      <c r="L217" s="8">
        <v>225.76</v>
      </c>
      <c r="M217" s="6"/>
      <c r="N217" s="6"/>
      <c r="O217" s="6"/>
      <c r="P217" s="6"/>
      <c r="Q217" s="8">
        <v>0</v>
      </c>
      <c r="R217" s="8">
        <v>138.75</v>
      </c>
      <c r="S217" s="8">
        <v>138.75</v>
      </c>
      <c r="T217" s="8">
        <v>45.7</v>
      </c>
      <c r="U217" s="8">
        <v>33.700000000000003</v>
      </c>
      <c r="V217" s="8">
        <v>18.649999999999999</v>
      </c>
      <c r="W217" s="6"/>
      <c r="X217" s="6"/>
      <c r="Y217" s="6"/>
      <c r="Z217" s="8">
        <v>172.4</v>
      </c>
      <c r="AA217" s="8">
        <v>270.45</v>
      </c>
      <c r="AB217" s="8">
        <v>10.85</v>
      </c>
      <c r="AC217" s="8">
        <v>26.11</v>
      </c>
      <c r="AD217" s="8">
        <v>6.2</v>
      </c>
      <c r="AE217" s="8">
        <v>14.56</v>
      </c>
      <c r="AF217" s="8">
        <v>0</v>
      </c>
      <c r="AG217" s="8">
        <v>173.3</v>
      </c>
      <c r="AH217" s="8">
        <v>231.02</v>
      </c>
      <c r="AI217" s="8">
        <v>6.06</v>
      </c>
      <c r="AJ217" s="8">
        <v>38.08</v>
      </c>
      <c r="AK217" s="8">
        <v>41.79</v>
      </c>
      <c r="AL217" s="8">
        <v>17.3</v>
      </c>
      <c r="AM217" s="8">
        <v>30</v>
      </c>
      <c r="AN217" s="8">
        <v>15.38</v>
      </c>
      <c r="AO217" s="8">
        <v>50</v>
      </c>
      <c r="AP217" s="8">
        <v>198.61</v>
      </c>
      <c r="AQ217" s="8">
        <v>0</v>
      </c>
      <c r="AR217" s="6"/>
      <c r="AS217" s="6"/>
      <c r="AT217" s="8">
        <v>0</v>
      </c>
      <c r="AU217" s="8">
        <v>22.3</v>
      </c>
      <c r="AV217" s="8">
        <v>22.3</v>
      </c>
      <c r="AW217" s="6"/>
      <c r="AX217" s="6"/>
      <c r="AY217" s="6"/>
      <c r="AZ217" s="6"/>
      <c r="BA217" s="8">
        <v>15</v>
      </c>
      <c r="BB217" s="8">
        <v>15</v>
      </c>
      <c r="BC217" s="8">
        <v>0.3</v>
      </c>
      <c r="BD217" s="8">
        <v>0.3</v>
      </c>
      <c r="BE217" s="6"/>
      <c r="BF217" s="6"/>
      <c r="BG217" s="6"/>
      <c r="BH217" s="6"/>
      <c r="BI217" s="6"/>
      <c r="BJ217" s="6"/>
      <c r="BK217" s="6"/>
      <c r="BL217" s="8">
        <v>1102.19</v>
      </c>
      <c r="BM217" s="8">
        <v>0</v>
      </c>
      <c r="BN217" s="8">
        <v>56.71</v>
      </c>
      <c r="BO217" s="8">
        <v>119.15</v>
      </c>
      <c r="BP217" s="8">
        <v>0</v>
      </c>
      <c r="BQ217" s="8">
        <v>6.3</v>
      </c>
      <c r="BR217" s="8">
        <v>182.16</v>
      </c>
      <c r="BS217" s="8">
        <v>182.16</v>
      </c>
      <c r="BT217" s="8">
        <v>33</v>
      </c>
      <c r="BU217" s="8">
        <v>33</v>
      </c>
      <c r="BV217" s="8">
        <v>33</v>
      </c>
      <c r="BW217" s="6"/>
      <c r="BX217" s="6"/>
      <c r="BY217" s="6"/>
      <c r="BZ217" s="6"/>
      <c r="CA217" s="6"/>
      <c r="CB217" s="6"/>
      <c r="CC217" s="6"/>
      <c r="CD217" s="6"/>
      <c r="CE217" s="6"/>
      <c r="CF217" s="6"/>
      <c r="CG217" s="9">
        <v>1317.35</v>
      </c>
    </row>
    <row r="218" spans="1:85" x14ac:dyDescent="0.3">
      <c r="A218" s="3" t="str">
        <f t="shared" si="5"/>
        <v>NON ADDOther Non-ADDAGEP Graduate Research SupplementsTotal</v>
      </c>
      <c r="B218" s="6" t="s">
        <v>223</v>
      </c>
      <c r="C218" s="6" t="s">
        <v>294</v>
      </c>
      <c r="D218" s="6" t="s">
        <v>295</v>
      </c>
      <c r="E218" s="6" t="s">
        <v>24</v>
      </c>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8">
        <v>0.25</v>
      </c>
      <c r="AJ218" s="8">
        <v>0.3</v>
      </c>
      <c r="AK218" s="8">
        <v>0.34</v>
      </c>
      <c r="AL218" s="8">
        <v>0.3</v>
      </c>
      <c r="AM218" s="8">
        <v>3</v>
      </c>
      <c r="AN218" s="8">
        <v>0.45</v>
      </c>
      <c r="AO218" s="8">
        <v>0</v>
      </c>
      <c r="AP218" s="8">
        <v>4.6399999999999997</v>
      </c>
      <c r="AQ218" s="6"/>
      <c r="AR218" s="6"/>
      <c r="AS218" s="6"/>
      <c r="AT218" s="6"/>
      <c r="AU218" s="6"/>
      <c r="AV218" s="6"/>
      <c r="AW218" s="6"/>
      <c r="AX218" s="6"/>
      <c r="AY218" s="6"/>
      <c r="AZ218" s="6"/>
      <c r="BA218" s="6"/>
      <c r="BB218" s="6"/>
      <c r="BC218" s="6"/>
      <c r="BD218" s="6"/>
      <c r="BE218" s="6"/>
      <c r="BF218" s="6"/>
      <c r="BG218" s="6"/>
      <c r="BH218" s="6"/>
      <c r="BI218" s="6"/>
      <c r="BJ218" s="6"/>
      <c r="BK218" s="6"/>
      <c r="BL218" s="8">
        <v>4.6399999999999997</v>
      </c>
      <c r="BM218" s="6"/>
      <c r="BN218" s="6"/>
      <c r="BO218" s="6"/>
      <c r="BP218" s="6"/>
      <c r="BQ218" s="6"/>
      <c r="BR218" s="6"/>
      <c r="BS218" s="6"/>
      <c r="BT218" s="6"/>
      <c r="BU218" s="6"/>
      <c r="BV218" s="6"/>
      <c r="BW218" s="6"/>
      <c r="BX218" s="6"/>
      <c r="BY218" s="6"/>
      <c r="BZ218" s="6"/>
      <c r="CA218" s="6"/>
      <c r="CB218" s="6"/>
      <c r="CC218" s="6"/>
      <c r="CD218" s="6"/>
      <c r="CE218" s="6"/>
      <c r="CF218" s="6"/>
      <c r="CG218" s="9">
        <v>4.6399999999999997</v>
      </c>
    </row>
    <row r="219" spans="1:85" x14ac:dyDescent="0.3">
      <c r="A219" s="3" t="str">
        <f t="shared" si="5"/>
        <v>NON ADDOther Non-ADDAIMS PreconstructionTotal</v>
      </c>
      <c r="B219" s="6" t="s">
        <v>223</v>
      </c>
      <c r="C219" s="6" t="s">
        <v>294</v>
      </c>
      <c r="D219" s="6" t="s">
        <v>296</v>
      </c>
      <c r="E219" s="6" t="s">
        <v>24</v>
      </c>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8">
        <v>0</v>
      </c>
      <c r="AF219" s="6"/>
      <c r="AG219" s="6"/>
      <c r="AH219" s="8">
        <v>0</v>
      </c>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8">
        <v>0</v>
      </c>
      <c r="BM219" s="6"/>
      <c r="BN219" s="6"/>
      <c r="BO219" s="6"/>
      <c r="BP219" s="6"/>
      <c r="BQ219" s="6"/>
      <c r="BR219" s="6"/>
      <c r="BS219" s="6"/>
      <c r="BT219" s="6"/>
      <c r="BU219" s="6"/>
      <c r="BV219" s="6"/>
      <c r="BW219" s="6"/>
      <c r="BX219" s="6"/>
      <c r="BY219" s="6"/>
      <c r="BZ219" s="6"/>
      <c r="CA219" s="6"/>
      <c r="CB219" s="6"/>
      <c r="CC219" s="6"/>
      <c r="CD219" s="6"/>
      <c r="CE219" s="6"/>
      <c r="CF219" s="6"/>
      <c r="CG219" s="9">
        <v>0</v>
      </c>
    </row>
    <row r="220" spans="1:85" x14ac:dyDescent="0.3">
      <c r="A220" s="3" t="str">
        <f t="shared" si="5"/>
        <v>NON ADDOther Non-ADDAntarctic Research VesselTotal</v>
      </c>
      <c r="B220" s="6" t="s">
        <v>223</v>
      </c>
      <c r="C220" s="6" t="s">
        <v>294</v>
      </c>
      <c r="D220" s="6" t="s">
        <v>297</v>
      </c>
      <c r="E220" s="6" t="s">
        <v>24</v>
      </c>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8">
        <v>12.43</v>
      </c>
      <c r="AF220" s="6"/>
      <c r="AG220" s="6"/>
      <c r="AH220" s="8">
        <v>12.43</v>
      </c>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8">
        <v>12.43</v>
      </c>
      <c r="BM220" s="6"/>
      <c r="BN220" s="6"/>
      <c r="BO220" s="6"/>
      <c r="BP220" s="6"/>
      <c r="BQ220" s="6"/>
      <c r="BR220" s="6"/>
      <c r="BS220" s="6"/>
      <c r="BT220" s="6"/>
      <c r="BU220" s="6"/>
      <c r="BV220" s="6"/>
      <c r="BW220" s="6"/>
      <c r="BX220" s="6"/>
      <c r="BY220" s="6"/>
      <c r="BZ220" s="6"/>
      <c r="CA220" s="6"/>
      <c r="CB220" s="6"/>
      <c r="CC220" s="6"/>
      <c r="CD220" s="6"/>
      <c r="CE220" s="6"/>
      <c r="CF220" s="6"/>
      <c r="CG220" s="9">
        <v>12.43</v>
      </c>
    </row>
    <row r="221" spans="1:85" x14ac:dyDescent="0.3">
      <c r="A221" s="3" t="str">
        <f t="shared" si="5"/>
        <v>NON ADDOther Non-ADDBroadening Participation in Biology Fellowships (incl. in PRFB)Total</v>
      </c>
      <c r="B221" s="6" t="s">
        <v>223</v>
      </c>
      <c r="C221" s="6" t="s">
        <v>294</v>
      </c>
      <c r="D221" s="6" t="s">
        <v>298</v>
      </c>
      <c r="E221" s="6" t="s">
        <v>24</v>
      </c>
      <c r="F221" s="6"/>
      <c r="G221" s="6"/>
      <c r="H221" s="6"/>
      <c r="I221" s="6"/>
      <c r="J221" s="6"/>
      <c r="K221" s="8">
        <v>10.5</v>
      </c>
      <c r="L221" s="8">
        <v>10.5</v>
      </c>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8">
        <v>10.5</v>
      </c>
      <c r="BM221" s="6"/>
      <c r="BN221" s="6"/>
      <c r="BO221" s="6"/>
      <c r="BP221" s="6"/>
      <c r="BQ221" s="6"/>
      <c r="BR221" s="6"/>
      <c r="BS221" s="6"/>
      <c r="BT221" s="6"/>
      <c r="BU221" s="6"/>
      <c r="BV221" s="6"/>
      <c r="BW221" s="6"/>
      <c r="BX221" s="6"/>
      <c r="BY221" s="6"/>
      <c r="BZ221" s="6"/>
      <c r="CA221" s="6"/>
      <c r="CB221" s="6"/>
      <c r="CC221" s="6"/>
      <c r="CD221" s="6"/>
      <c r="CE221" s="6"/>
      <c r="CF221" s="6"/>
      <c r="CG221" s="9">
        <v>10.5</v>
      </c>
    </row>
    <row r="222" spans="1:85" x14ac:dyDescent="0.3">
      <c r="A222" s="3" t="str">
        <f t="shared" si="5"/>
        <v>NON ADDOther Non-ADDBroadening Participation in Engineering (BPE)Total</v>
      </c>
      <c r="B222" s="6" t="s">
        <v>223</v>
      </c>
      <c r="C222" s="6" t="s">
        <v>294</v>
      </c>
      <c r="D222" s="6" t="s">
        <v>299</v>
      </c>
      <c r="E222" s="6" t="s">
        <v>24</v>
      </c>
      <c r="F222" s="6"/>
      <c r="G222" s="6"/>
      <c r="H222" s="6"/>
      <c r="I222" s="6"/>
      <c r="J222" s="6"/>
      <c r="K222" s="6"/>
      <c r="L222" s="6"/>
      <c r="M222" s="6"/>
      <c r="N222" s="6"/>
      <c r="O222" s="6"/>
      <c r="P222" s="6"/>
      <c r="Q222" s="6"/>
      <c r="R222" s="6"/>
      <c r="S222" s="6"/>
      <c r="T222" s="6"/>
      <c r="U222" s="6"/>
      <c r="V222" s="6"/>
      <c r="W222" s="6"/>
      <c r="X222" s="6"/>
      <c r="Y222" s="6"/>
      <c r="Z222" s="8">
        <v>9</v>
      </c>
      <c r="AA222" s="8">
        <v>9</v>
      </c>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8">
        <v>9</v>
      </c>
      <c r="BM222" s="6"/>
      <c r="BN222" s="6"/>
      <c r="BO222" s="6"/>
      <c r="BP222" s="6"/>
      <c r="BQ222" s="6"/>
      <c r="BR222" s="6"/>
      <c r="BS222" s="6"/>
      <c r="BT222" s="6"/>
      <c r="BU222" s="6"/>
      <c r="BV222" s="6"/>
      <c r="BW222" s="6"/>
      <c r="BX222" s="6"/>
      <c r="BY222" s="6"/>
      <c r="BZ222" s="6"/>
      <c r="CA222" s="6"/>
      <c r="CB222" s="6"/>
      <c r="CC222" s="6"/>
      <c r="CD222" s="6"/>
      <c r="CE222" s="6"/>
      <c r="CF222" s="6"/>
      <c r="CG222" s="9">
        <v>9</v>
      </c>
    </row>
    <row r="223" spans="1:85" x14ac:dyDescent="0.3">
      <c r="A223" s="3" t="str">
        <f t="shared" si="5"/>
        <v>NON ADDOther Non-ADDCAREERTotal</v>
      </c>
      <c r="B223" s="6" t="s">
        <v>223</v>
      </c>
      <c r="C223" s="6" t="s">
        <v>294</v>
      </c>
      <c r="D223" s="6" t="s">
        <v>98</v>
      </c>
      <c r="E223" s="6" t="s">
        <v>24</v>
      </c>
      <c r="F223" s="8">
        <v>0</v>
      </c>
      <c r="G223" s="8">
        <v>0</v>
      </c>
      <c r="H223" s="6"/>
      <c r="I223" s="8">
        <v>0</v>
      </c>
      <c r="J223" s="8">
        <v>0</v>
      </c>
      <c r="K223" s="8">
        <v>80</v>
      </c>
      <c r="L223" s="8">
        <v>80</v>
      </c>
      <c r="M223" s="6"/>
      <c r="N223" s="6"/>
      <c r="O223" s="6"/>
      <c r="P223" s="6"/>
      <c r="Q223" s="6"/>
      <c r="R223" s="8">
        <v>55.75</v>
      </c>
      <c r="S223" s="8">
        <v>55.75</v>
      </c>
      <c r="T223" s="8">
        <v>45.6</v>
      </c>
      <c r="U223" s="8">
        <v>33.6</v>
      </c>
      <c r="V223" s="8">
        <v>18.600000000000001</v>
      </c>
      <c r="W223" s="6"/>
      <c r="X223" s="6"/>
      <c r="Y223" s="6"/>
      <c r="Z223" s="6"/>
      <c r="AA223" s="8">
        <v>97.8</v>
      </c>
      <c r="AB223" s="8">
        <v>10</v>
      </c>
      <c r="AC223" s="8">
        <v>14.11</v>
      </c>
      <c r="AD223" s="8">
        <v>6.2</v>
      </c>
      <c r="AE223" s="8">
        <v>2.13</v>
      </c>
      <c r="AF223" s="8">
        <v>0</v>
      </c>
      <c r="AG223" s="6"/>
      <c r="AH223" s="8">
        <v>32.44</v>
      </c>
      <c r="AI223" s="8">
        <v>4.8099999999999996</v>
      </c>
      <c r="AJ223" s="8">
        <v>26</v>
      </c>
      <c r="AK223" s="8">
        <v>25</v>
      </c>
      <c r="AL223" s="8">
        <v>15</v>
      </c>
      <c r="AM223" s="8">
        <v>0</v>
      </c>
      <c r="AN223" s="8">
        <v>7.3</v>
      </c>
      <c r="AO223" s="6"/>
      <c r="AP223" s="8">
        <v>78.11</v>
      </c>
      <c r="AQ223" s="8">
        <v>0</v>
      </c>
      <c r="AR223" s="6"/>
      <c r="AS223" s="6"/>
      <c r="AT223" s="8">
        <v>0</v>
      </c>
      <c r="AU223" s="8">
        <v>10</v>
      </c>
      <c r="AV223" s="8">
        <v>10</v>
      </c>
      <c r="AW223" s="6"/>
      <c r="AX223" s="6"/>
      <c r="AY223" s="6"/>
      <c r="AZ223" s="6"/>
      <c r="BA223" s="6"/>
      <c r="BB223" s="6"/>
      <c r="BC223" s="6"/>
      <c r="BD223" s="6"/>
      <c r="BE223" s="6"/>
      <c r="BF223" s="6"/>
      <c r="BG223" s="6"/>
      <c r="BH223" s="6"/>
      <c r="BI223" s="6"/>
      <c r="BJ223" s="6"/>
      <c r="BK223" s="6"/>
      <c r="BL223" s="8">
        <v>354.1</v>
      </c>
      <c r="BM223" s="8">
        <v>0</v>
      </c>
      <c r="BN223" s="8">
        <v>0</v>
      </c>
      <c r="BO223" s="8">
        <v>0</v>
      </c>
      <c r="BP223" s="8">
        <v>0</v>
      </c>
      <c r="BQ223" s="8">
        <v>6</v>
      </c>
      <c r="BR223" s="8">
        <v>6</v>
      </c>
      <c r="BS223" s="8">
        <v>6</v>
      </c>
      <c r="BT223" s="6"/>
      <c r="BU223" s="6"/>
      <c r="BV223" s="6"/>
      <c r="BW223" s="6"/>
      <c r="BX223" s="6"/>
      <c r="BY223" s="6"/>
      <c r="BZ223" s="6"/>
      <c r="CA223" s="6"/>
      <c r="CB223" s="6"/>
      <c r="CC223" s="6"/>
      <c r="CD223" s="6"/>
      <c r="CE223" s="6"/>
      <c r="CF223" s="6"/>
      <c r="CG223" s="9">
        <v>360.1</v>
      </c>
    </row>
    <row r="224" spans="1:85" x14ac:dyDescent="0.3">
      <c r="A224" s="3" t="str">
        <f t="shared" si="5"/>
        <v>NON ADDOther Non-ADDCareer-Life Balance (CLB)Total</v>
      </c>
      <c r="B224" s="6" t="s">
        <v>223</v>
      </c>
      <c r="C224" s="6" t="s">
        <v>294</v>
      </c>
      <c r="D224" s="6" t="s">
        <v>137</v>
      </c>
      <c r="E224" s="6" t="s">
        <v>24</v>
      </c>
      <c r="F224" s="6"/>
      <c r="G224" s="6"/>
      <c r="H224" s="6"/>
      <c r="I224" s="6"/>
      <c r="J224" s="6"/>
      <c r="K224" s="6"/>
      <c r="L224" s="6"/>
      <c r="M224" s="6"/>
      <c r="N224" s="6"/>
      <c r="O224" s="6"/>
      <c r="P224" s="6"/>
      <c r="Q224" s="6"/>
      <c r="R224" s="6"/>
      <c r="S224" s="6"/>
      <c r="T224" s="8">
        <v>0.1</v>
      </c>
      <c r="U224" s="8">
        <v>0.1</v>
      </c>
      <c r="V224" s="8">
        <v>0.05</v>
      </c>
      <c r="W224" s="6"/>
      <c r="X224" s="6"/>
      <c r="Y224" s="6"/>
      <c r="Z224" s="6"/>
      <c r="AA224" s="8">
        <v>0.25</v>
      </c>
      <c r="AB224" s="6"/>
      <c r="AC224" s="6"/>
      <c r="AD224" s="6"/>
      <c r="AE224" s="8">
        <v>0</v>
      </c>
      <c r="AF224" s="6"/>
      <c r="AG224" s="6"/>
      <c r="AH224" s="8">
        <v>0</v>
      </c>
      <c r="AI224" s="6"/>
      <c r="AJ224" s="8">
        <v>0.03</v>
      </c>
      <c r="AK224" s="6"/>
      <c r="AL224" s="6"/>
      <c r="AM224" s="8">
        <v>0</v>
      </c>
      <c r="AN224" s="6"/>
      <c r="AO224" s="6"/>
      <c r="AP224" s="8">
        <v>0.03</v>
      </c>
      <c r="AQ224" s="8">
        <v>0</v>
      </c>
      <c r="AR224" s="6"/>
      <c r="AS224" s="6"/>
      <c r="AT224" s="8">
        <v>0</v>
      </c>
      <c r="AU224" s="6"/>
      <c r="AV224" s="8">
        <v>0</v>
      </c>
      <c r="AW224" s="6"/>
      <c r="AX224" s="6"/>
      <c r="AY224" s="6"/>
      <c r="AZ224" s="6"/>
      <c r="BA224" s="6"/>
      <c r="BB224" s="6"/>
      <c r="BC224" s="6"/>
      <c r="BD224" s="6"/>
      <c r="BE224" s="6"/>
      <c r="BF224" s="6"/>
      <c r="BG224" s="6"/>
      <c r="BH224" s="6"/>
      <c r="BI224" s="6"/>
      <c r="BJ224" s="6"/>
      <c r="BK224" s="6"/>
      <c r="BL224" s="8">
        <v>0.28000000000000003</v>
      </c>
      <c r="BM224" s="6"/>
      <c r="BN224" s="6"/>
      <c r="BO224" s="6"/>
      <c r="BP224" s="8">
        <v>0</v>
      </c>
      <c r="BQ224" s="6"/>
      <c r="BR224" s="8">
        <v>0</v>
      </c>
      <c r="BS224" s="8">
        <v>0</v>
      </c>
      <c r="BT224" s="6"/>
      <c r="BU224" s="6"/>
      <c r="BV224" s="6"/>
      <c r="BW224" s="6"/>
      <c r="BX224" s="6"/>
      <c r="BY224" s="6"/>
      <c r="BZ224" s="6"/>
      <c r="CA224" s="6"/>
      <c r="CB224" s="6"/>
      <c r="CC224" s="6"/>
      <c r="CD224" s="6"/>
      <c r="CE224" s="6"/>
      <c r="CF224" s="6"/>
      <c r="CG224" s="9">
        <v>0.28000000000000003</v>
      </c>
    </row>
    <row r="225" spans="1:85" x14ac:dyDescent="0.3">
      <c r="A225" s="3" t="str">
        <f t="shared" si="5"/>
        <v>NON ADDOther Non-ADDCenter for High Resolution Neutron Scattering (CHRNS)Total</v>
      </c>
      <c r="B225" s="6" t="s">
        <v>223</v>
      </c>
      <c r="C225" s="6" t="s">
        <v>294</v>
      </c>
      <c r="D225" s="6" t="s">
        <v>355</v>
      </c>
      <c r="E225" s="6" t="s">
        <v>24</v>
      </c>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8">
        <v>0</v>
      </c>
      <c r="AK225" s="8">
        <v>3</v>
      </c>
      <c r="AL225" s="6"/>
      <c r="AM225" s="6"/>
      <c r="AN225" s="6"/>
      <c r="AO225" s="6"/>
      <c r="AP225" s="8">
        <v>3</v>
      </c>
      <c r="AQ225" s="6"/>
      <c r="AR225" s="6"/>
      <c r="AS225" s="6"/>
      <c r="AT225" s="6"/>
      <c r="AU225" s="6"/>
      <c r="AV225" s="6"/>
      <c r="AW225" s="6"/>
      <c r="AX225" s="6"/>
      <c r="AY225" s="6"/>
      <c r="AZ225" s="6"/>
      <c r="BA225" s="6"/>
      <c r="BB225" s="6"/>
      <c r="BC225" s="6"/>
      <c r="BD225" s="6"/>
      <c r="BE225" s="6"/>
      <c r="BF225" s="6"/>
      <c r="BG225" s="6"/>
      <c r="BH225" s="6"/>
      <c r="BI225" s="6"/>
      <c r="BJ225" s="6"/>
      <c r="BK225" s="6"/>
      <c r="BL225" s="8">
        <v>3</v>
      </c>
      <c r="BM225" s="6"/>
      <c r="BN225" s="6"/>
      <c r="BO225" s="6"/>
      <c r="BP225" s="6"/>
      <c r="BQ225" s="6"/>
      <c r="BR225" s="6"/>
      <c r="BS225" s="6"/>
      <c r="BT225" s="6"/>
      <c r="BU225" s="6"/>
      <c r="BV225" s="6"/>
      <c r="BW225" s="6"/>
      <c r="BX225" s="6"/>
      <c r="BY225" s="6"/>
      <c r="BZ225" s="6"/>
      <c r="CA225" s="6"/>
      <c r="CB225" s="6"/>
      <c r="CC225" s="6"/>
      <c r="CD225" s="6"/>
      <c r="CE225" s="6"/>
      <c r="CF225" s="6"/>
      <c r="CG225" s="9">
        <v>3</v>
      </c>
    </row>
    <row r="226" spans="1:85" x14ac:dyDescent="0.3">
      <c r="A226" s="3" t="str">
        <f t="shared" si="5"/>
        <v>NON ADDOther Non-ADDChemMatCARSTotal</v>
      </c>
      <c r="B226" s="6" t="s">
        <v>223</v>
      </c>
      <c r="C226" s="6" t="s">
        <v>294</v>
      </c>
      <c r="D226" s="6" t="s">
        <v>356</v>
      </c>
      <c r="E226" s="6" t="s">
        <v>24</v>
      </c>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8">
        <v>1.65</v>
      </c>
      <c r="AK226" s="8">
        <v>0.45</v>
      </c>
      <c r="AL226" s="6"/>
      <c r="AM226" s="6"/>
      <c r="AN226" s="6"/>
      <c r="AO226" s="6"/>
      <c r="AP226" s="8">
        <v>2.1</v>
      </c>
      <c r="AQ226" s="6"/>
      <c r="AR226" s="6"/>
      <c r="AS226" s="6"/>
      <c r="AT226" s="6"/>
      <c r="AU226" s="6"/>
      <c r="AV226" s="6"/>
      <c r="AW226" s="6"/>
      <c r="AX226" s="6"/>
      <c r="AY226" s="6"/>
      <c r="AZ226" s="6"/>
      <c r="BA226" s="6"/>
      <c r="BB226" s="6"/>
      <c r="BC226" s="6"/>
      <c r="BD226" s="6"/>
      <c r="BE226" s="6"/>
      <c r="BF226" s="6"/>
      <c r="BG226" s="6"/>
      <c r="BH226" s="6"/>
      <c r="BI226" s="6"/>
      <c r="BJ226" s="6"/>
      <c r="BK226" s="6"/>
      <c r="BL226" s="8">
        <v>2.1</v>
      </c>
      <c r="BM226" s="6"/>
      <c r="BN226" s="6"/>
      <c r="BO226" s="6"/>
      <c r="BP226" s="6"/>
      <c r="BQ226" s="6"/>
      <c r="BR226" s="6"/>
      <c r="BS226" s="6"/>
      <c r="BT226" s="6"/>
      <c r="BU226" s="6"/>
      <c r="BV226" s="6"/>
      <c r="BW226" s="6"/>
      <c r="BX226" s="6"/>
      <c r="BY226" s="6"/>
      <c r="BZ226" s="6"/>
      <c r="CA226" s="6"/>
      <c r="CB226" s="6"/>
      <c r="CC226" s="6"/>
      <c r="CD226" s="6"/>
      <c r="CE226" s="6"/>
      <c r="CF226" s="6"/>
      <c r="CG226" s="9">
        <v>2.1</v>
      </c>
    </row>
    <row r="227" spans="1:85" x14ac:dyDescent="0.3">
      <c r="A227" s="3" t="str">
        <f t="shared" si="5"/>
        <v>NON ADDOther Non-ADDCISE Education and WorkforceTotal</v>
      </c>
      <c r="B227" s="6" t="s">
        <v>223</v>
      </c>
      <c r="C227" s="6" t="s">
        <v>294</v>
      </c>
      <c r="D227" s="6" t="s">
        <v>300</v>
      </c>
      <c r="E227" s="6" t="s">
        <v>24</v>
      </c>
      <c r="F227" s="6"/>
      <c r="G227" s="6"/>
      <c r="H227" s="6"/>
      <c r="I227" s="6"/>
      <c r="J227" s="6"/>
      <c r="K227" s="6"/>
      <c r="L227" s="6"/>
      <c r="M227" s="6"/>
      <c r="N227" s="6"/>
      <c r="O227" s="6"/>
      <c r="P227" s="6"/>
      <c r="Q227" s="6"/>
      <c r="R227" s="8">
        <v>12.75</v>
      </c>
      <c r="S227" s="8">
        <v>12.75</v>
      </c>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8">
        <v>12.75</v>
      </c>
      <c r="BM227" s="6"/>
      <c r="BN227" s="6"/>
      <c r="BO227" s="6"/>
      <c r="BP227" s="6"/>
      <c r="BQ227" s="6"/>
      <c r="BR227" s="6"/>
      <c r="BS227" s="6"/>
      <c r="BT227" s="6"/>
      <c r="BU227" s="6"/>
      <c r="BV227" s="6"/>
      <c r="BW227" s="6"/>
      <c r="BX227" s="6"/>
      <c r="BY227" s="6"/>
      <c r="BZ227" s="6"/>
      <c r="CA227" s="6"/>
      <c r="CB227" s="6"/>
      <c r="CC227" s="6"/>
      <c r="CD227" s="6"/>
      <c r="CE227" s="6"/>
      <c r="CF227" s="6"/>
      <c r="CG227" s="9">
        <v>12.75</v>
      </c>
    </row>
    <row r="228" spans="1:85" x14ac:dyDescent="0.3">
      <c r="A228" s="3" t="str">
        <f t="shared" si="5"/>
        <v>NON ADDOther Non-ADDCISE-MSI Research Expansion ProgramTotal</v>
      </c>
      <c r="B228" s="6" t="s">
        <v>223</v>
      </c>
      <c r="C228" s="6" t="s">
        <v>294</v>
      </c>
      <c r="D228" s="6" t="s">
        <v>301</v>
      </c>
      <c r="E228" s="6" t="s">
        <v>24</v>
      </c>
      <c r="F228" s="6"/>
      <c r="G228" s="6"/>
      <c r="H228" s="6"/>
      <c r="I228" s="6"/>
      <c r="J228" s="6"/>
      <c r="K228" s="6"/>
      <c r="L228" s="6"/>
      <c r="M228" s="6"/>
      <c r="N228" s="6"/>
      <c r="O228" s="6"/>
      <c r="P228" s="6"/>
      <c r="Q228" s="6"/>
      <c r="R228" s="8">
        <v>7</v>
      </c>
      <c r="S228" s="8">
        <v>7</v>
      </c>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8">
        <v>7</v>
      </c>
      <c r="BM228" s="6"/>
      <c r="BN228" s="6"/>
      <c r="BO228" s="6"/>
      <c r="BP228" s="6"/>
      <c r="BQ228" s="6"/>
      <c r="BR228" s="6"/>
      <c r="BS228" s="6"/>
      <c r="BT228" s="6"/>
      <c r="BU228" s="6"/>
      <c r="BV228" s="6"/>
      <c r="BW228" s="6"/>
      <c r="BX228" s="6"/>
      <c r="BY228" s="6"/>
      <c r="BZ228" s="6"/>
      <c r="CA228" s="6"/>
      <c r="CB228" s="6"/>
      <c r="CC228" s="6"/>
      <c r="CD228" s="6"/>
      <c r="CE228" s="6"/>
      <c r="CF228" s="6"/>
      <c r="CG228" s="9">
        <v>7</v>
      </c>
    </row>
    <row r="229" spans="1:85" x14ac:dyDescent="0.3">
      <c r="A229" s="3" t="str">
        <f t="shared" si="5"/>
        <v>NON ADDOther Non-ADDClimate Related activities (non-USGCRP, non-CETTotal</v>
      </c>
      <c r="B229" s="6" t="s">
        <v>223</v>
      </c>
      <c r="C229" s="6" t="s">
        <v>294</v>
      </c>
      <c r="D229" s="6" t="s">
        <v>357</v>
      </c>
      <c r="E229" s="6" t="s">
        <v>24</v>
      </c>
      <c r="F229" s="6"/>
      <c r="G229" s="6"/>
      <c r="H229" s="6"/>
      <c r="I229" s="6"/>
      <c r="J229" s="6"/>
      <c r="K229" s="6"/>
      <c r="L229" s="6"/>
      <c r="M229" s="6"/>
      <c r="N229" s="6"/>
      <c r="O229" s="6"/>
      <c r="P229" s="6"/>
      <c r="Q229" s="6"/>
      <c r="R229" s="8">
        <v>55</v>
      </c>
      <c r="S229" s="8">
        <v>55</v>
      </c>
      <c r="T229" s="6"/>
      <c r="U229" s="6"/>
      <c r="V229" s="6"/>
      <c r="W229" s="6"/>
      <c r="X229" s="6"/>
      <c r="Y229" s="6"/>
      <c r="Z229" s="8">
        <v>40</v>
      </c>
      <c r="AA229" s="8">
        <v>40</v>
      </c>
      <c r="AB229" s="6"/>
      <c r="AC229" s="6"/>
      <c r="AD229" s="6"/>
      <c r="AE229" s="6"/>
      <c r="AF229" s="6"/>
      <c r="AG229" s="8">
        <v>51.8</v>
      </c>
      <c r="AH229" s="8">
        <v>51.8</v>
      </c>
      <c r="AI229" s="6"/>
      <c r="AJ229" s="8">
        <v>1</v>
      </c>
      <c r="AK229" s="6"/>
      <c r="AL229" s="6"/>
      <c r="AM229" s="6"/>
      <c r="AN229" s="8">
        <v>4.34</v>
      </c>
      <c r="AO229" s="6"/>
      <c r="AP229" s="8">
        <v>5.34</v>
      </c>
      <c r="AQ229" s="6"/>
      <c r="AR229" s="6"/>
      <c r="AS229" s="6"/>
      <c r="AT229" s="6"/>
      <c r="AU229" s="6"/>
      <c r="AV229" s="6"/>
      <c r="AW229" s="6"/>
      <c r="AX229" s="6"/>
      <c r="AY229" s="6"/>
      <c r="AZ229" s="6"/>
      <c r="BA229" s="8">
        <v>15</v>
      </c>
      <c r="BB229" s="8">
        <v>15</v>
      </c>
      <c r="BC229" s="6"/>
      <c r="BD229" s="6"/>
      <c r="BE229" s="6"/>
      <c r="BF229" s="6"/>
      <c r="BG229" s="6"/>
      <c r="BH229" s="6"/>
      <c r="BI229" s="6"/>
      <c r="BJ229" s="6"/>
      <c r="BK229" s="6"/>
      <c r="BL229" s="8">
        <v>167.14</v>
      </c>
      <c r="BM229" s="6"/>
      <c r="BN229" s="6"/>
      <c r="BO229" s="6"/>
      <c r="BP229" s="6"/>
      <c r="BQ229" s="6"/>
      <c r="BR229" s="6"/>
      <c r="BS229" s="6"/>
      <c r="BT229" s="6"/>
      <c r="BU229" s="6"/>
      <c r="BV229" s="6"/>
      <c r="BW229" s="6"/>
      <c r="BX229" s="6"/>
      <c r="BY229" s="6"/>
      <c r="BZ229" s="6"/>
      <c r="CA229" s="6"/>
      <c r="CB229" s="6"/>
      <c r="CC229" s="6"/>
      <c r="CD229" s="6"/>
      <c r="CE229" s="6"/>
      <c r="CF229" s="6"/>
      <c r="CG229" s="9">
        <v>167.14</v>
      </c>
    </row>
    <row r="230" spans="1:85" x14ac:dyDescent="0.3">
      <c r="A230" s="3" t="str">
        <f t="shared" si="5"/>
        <v>NON ADDOther Non-ADDDisability and Rehabilitation Engineering (DARE)Total</v>
      </c>
      <c r="B230" s="6" t="s">
        <v>223</v>
      </c>
      <c r="C230" s="6" t="s">
        <v>294</v>
      </c>
      <c r="D230" s="6" t="s">
        <v>305</v>
      </c>
      <c r="E230" s="6" t="s">
        <v>24</v>
      </c>
      <c r="F230" s="6"/>
      <c r="G230" s="6"/>
      <c r="H230" s="6"/>
      <c r="I230" s="6"/>
      <c r="J230" s="6"/>
      <c r="K230" s="6"/>
      <c r="L230" s="6"/>
      <c r="M230" s="6"/>
      <c r="N230" s="6"/>
      <c r="O230" s="6"/>
      <c r="P230" s="6"/>
      <c r="Q230" s="6"/>
      <c r="R230" s="6"/>
      <c r="S230" s="6"/>
      <c r="T230" s="6"/>
      <c r="U230" s="6"/>
      <c r="V230" s="6"/>
      <c r="W230" s="6"/>
      <c r="X230" s="6"/>
      <c r="Y230" s="6"/>
      <c r="Z230" s="8">
        <v>6</v>
      </c>
      <c r="AA230" s="8">
        <v>6</v>
      </c>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8">
        <v>6</v>
      </c>
      <c r="BM230" s="6"/>
      <c r="BN230" s="6"/>
      <c r="BO230" s="6"/>
      <c r="BP230" s="6"/>
      <c r="BQ230" s="6"/>
      <c r="BR230" s="6"/>
      <c r="BS230" s="6"/>
      <c r="BT230" s="6"/>
      <c r="BU230" s="6"/>
      <c r="BV230" s="6"/>
      <c r="BW230" s="6"/>
      <c r="BX230" s="6"/>
      <c r="BY230" s="6"/>
      <c r="BZ230" s="6"/>
      <c r="CA230" s="6"/>
      <c r="CB230" s="6"/>
      <c r="CC230" s="6"/>
      <c r="CD230" s="6"/>
      <c r="CE230" s="6"/>
      <c r="CF230" s="6"/>
      <c r="CG230" s="9">
        <v>6</v>
      </c>
    </row>
    <row r="231" spans="1:85" x14ac:dyDescent="0.3">
      <c r="A231" s="3" t="str">
        <f t="shared" si="5"/>
        <v>NON ADDOther Non-ADDEFRI:REM - Emerging Frontiers in Research and Innovation: Research Experience and MentoringTotal</v>
      </c>
      <c r="B231" s="6" t="s">
        <v>223</v>
      </c>
      <c r="C231" s="6" t="s">
        <v>294</v>
      </c>
      <c r="D231" s="6" t="s">
        <v>358</v>
      </c>
      <c r="E231" s="6" t="s">
        <v>24</v>
      </c>
      <c r="F231" s="6"/>
      <c r="G231" s="6"/>
      <c r="H231" s="6"/>
      <c r="I231" s="6"/>
      <c r="J231" s="6"/>
      <c r="K231" s="6"/>
      <c r="L231" s="6"/>
      <c r="M231" s="6"/>
      <c r="N231" s="6"/>
      <c r="O231" s="6"/>
      <c r="P231" s="6"/>
      <c r="Q231" s="6"/>
      <c r="R231" s="6"/>
      <c r="S231" s="6"/>
      <c r="T231" s="6"/>
      <c r="U231" s="6"/>
      <c r="V231" s="6"/>
      <c r="W231" s="6"/>
      <c r="X231" s="6"/>
      <c r="Y231" s="6"/>
      <c r="Z231" s="8">
        <v>1</v>
      </c>
      <c r="AA231" s="8">
        <v>1</v>
      </c>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8">
        <v>1</v>
      </c>
      <c r="BM231" s="6"/>
      <c r="BN231" s="6"/>
      <c r="BO231" s="6"/>
      <c r="BP231" s="6"/>
      <c r="BQ231" s="6"/>
      <c r="BR231" s="6"/>
      <c r="BS231" s="6"/>
      <c r="BT231" s="6"/>
      <c r="BU231" s="6"/>
      <c r="BV231" s="6"/>
      <c r="BW231" s="6"/>
      <c r="BX231" s="6"/>
      <c r="BY231" s="6"/>
      <c r="BZ231" s="6"/>
      <c r="CA231" s="6"/>
      <c r="CB231" s="6"/>
      <c r="CC231" s="6"/>
      <c r="CD231" s="6"/>
      <c r="CE231" s="6"/>
      <c r="CF231" s="6"/>
      <c r="CG231" s="9">
        <v>1</v>
      </c>
    </row>
    <row r="232" spans="1:85" x14ac:dyDescent="0.3">
      <c r="A232" s="3" t="str">
        <f t="shared" si="5"/>
        <v>NON ADDOther Non-ADDEthical and Responsible Research (ER2)Total</v>
      </c>
      <c r="B232" s="6" t="s">
        <v>223</v>
      </c>
      <c r="C232" s="6" t="s">
        <v>294</v>
      </c>
      <c r="D232" s="6" t="s">
        <v>306</v>
      </c>
      <c r="E232" s="6" t="s">
        <v>24</v>
      </c>
      <c r="F232" s="6"/>
      <c r="G232" s="6"/>
      <c r="H232" s="6"/>
      <c r="I232" s="6"/>
      <c r="J232" s="6"/>
      <c r="K232" s="8">
        <v>0.6</v>
      </c>
      <c r="L232" s="8">
        <v>0.6</v>
      </c>
      <c r="M232" s="6"/>
      <c r="N232" s="6"/>
      <c r="O232" s="6"/>
      <c r="P232" s="6"/>
      <c r="Q232" s="6"/>
      <c r="R232" s="8">
        <v>0.75</v>
      </c>
      <c r="S232" s="8">
        <v>0.75</v>
      </c>
      <c r="T232" s="6"/>
      <c r="U232" s="6"/>
      <c r="V232" s="6"/>
      <c r="W232" s="6"/>
      <c r="X232" s="6"/>
      <c r="Y232" s="6"/>
      <c r="Z232" s="8">
        <v>0.4</v>
      </c>
      <c r="AA232" s="8">
        <v>0.4</v>
      </c>
      <c r="AB232" s="6"/>
      <c r="AC232" s="6"/>
      <c r="AD232" s="6"/>
      <c r="AE232" s="6"/>
      <c r="AF232" s="6"/>
      <c r="AG232" s="6"/>
      <c r="AH232" s="6"/>
      <c r="AI232" s="6"/>
      <c r="AJ232" s="6"/>
      <c r="AK232" s="6"/>
      <c r="AL232" s="6"/>
      <c r="AM232" s="6"/>
      <c r="AN232" s="6"/>
      <c r="AO232" s="6"/>
      <c r="AP232" s="6"/>
      <c r="AQ232" s="6"/>
      <c r="AR232" s="6"/>
      <c r="AS232" s="6"/>
      <c r="AT232" s="6"/>
      <c r="AU232" s="8">
        <v>2.2000000000000002</v>
      </c>
      <c r="AV232" s="8">
        <v>2.2000000000000002</v>
      </c>
      <c r="AW232" s="6"/>
      <c r="AX232" s="6"/>
      <c r="AY232" s="6"/>
      <c r="AZ232" s="6"/>
      <c r="BA232" s="6"/>
      <c r="BB232" s="6"/>
      <c r="BC232" s="8">
        <v>0.3</v>
      </c>
      <c r="BD232" s="8">
        <v>0.3</v>
      </c>
      <c r="BE232" s="6"/>
      <c r="BF232" s="6"/>
      <c r="BG232" s="6"/>
      <c r="BH232" s="6"/>
      <c r="BI232" s="6"/>
      <c r="BJ232" s="6"/>
      <c r="BK232" s="6"/>
      <c r="BL232" s="8">
        <v>4.25</v>
      </c>
      <c r="BM232" s="6"/>
      <c r="BN232" s="6"/>
      <c r="BO232" s="6"/>
      <c r="BP232" s="6"/>
      <c r="BQ232" s="8">
        <v>0.3</v>
      </c>
      <c r="BR232" s="8">
        <v>0.3</v>
      </c>
      <c r="BS232" s="8">
        <v>0.3</v>
      </c>
      <c r="BT232" s="6"/>
      <c r="BU232" s="6"/>
      <c r="BV232" s="6"/>
      <c r="BW232" s="6"/>
      <c r="BX232" s="6"/>
      <c r="BY232" s="6"/>
      <c r="BZ232" s="6"/>
      <c r="CA232" s="6"/>
      <c r="CB232" s="6"/>
      <c r="CC232" s="6"/>
      <c r="CD232" s="6"/>
      <c r="CE232" s="6"/>
      <c r="CF232" s="6"/>
      <c r="CG232" s="9">
        <v>4.55</v>
      </c>
    </row>
    <row r="233" spans="1:85" x14ac:dyDescent="0.3">
      <c r="A233" s="3" t="str">
        <f t="shared" si="5"/>
        <v>NON ADDOther Non-ADDGrant Opportunities for Academic Liaison with Industry (GOALI)Total</v>
      </c>
      <c r="B233" s="6" t="s">
        <v>223</v>
      </c>
      <c r="C233" s="6" t="s">
        <v>294</v>
      </c>
      <c r="D233" s="6" t="s">
        <v>307</v>
      </c>
      <c r="E233" s="6" t="s">
        <v>24</v>
      </c>
      <c r="F233" s="6"/>
      <c r="G233" s="6"/>
      <c r="H233" s="6"/>
      <c r="I233" s="6"/>
      <c r="J233" s="6"/>
      <c r="K233" s="6"/>
      <c r="L233" s="6"/>
      <c r="M233" s="6"/>
      <c r="N233" s="6"/>
      <c r="O233" s="6"/>
      <c r="P233" s="6"/>
      <c r="Q233" s="6"/>
      <c r="R233" s="6"/>
      <c r="S233" s="6"/>
      <c r="T233" s="6"/>
      <c r="U233" s="6"/>
      <c r="V233" s="6"/>
      <c r="W233" s="6"/>
      <c r="X233" s="6"/>
      <c r="Y233" s="6"/>
      <c r="Z233" s="8">
        <v>20</v>
      </c>
      <c r="AA233" s="8">
        <v>20</v>
      </c>
      <c r="AB233" s="6"/>
      <c r="AC233" s="6"/>
      <c r="AD233" s="6"/>
      <c r="AE233" s="6"/>
      <c r="AF233" s="6"/>
      <c r="AG233" s="6"/>
      <c r="AH233" s="6"/>
      <c r="AI233" s="6"/>
      <c r="AJ233" s="8">
        <v>2.5</v>
      </c>
      <c r="AK233" s="8">
        <v>2</v>
      </c>
      <c r="AL233" s="6"/>
      <c r="AM233" s="8">
        <v>0</v>
      </c>
      <c r="AN233" s="6"/>
      <c r="AO233" s="6"/>
      <c r="AP233" s="8">
        <v>4.5</v>
      </c>
      <c r="AQ233" s="6"/>
      <c r="AR233" s="6"/>
      <c r="AS233" s="6"/>
      <c r="AT233" s="6"/>
      <c r="AU233" s="6"/>
      <c r="AV233" s="6"/>
      <c r="AW233" s="6"/>
      <c r="AX233" s="6"/>
      <c r="AY233" s="6"/>
      <c r="AZ233" s="6"/>
      <c r="BA233" s="8">
        <v>0</v>
      </c>
      <c r="BB233" s="8">
        <v>0</v>
      </c>
      <c r="BC233" s="6"/>
      <c r="BD233" s="6"/>
      <c r="BE233" s="6"/>
      <c r="BF233" s="6"/>
      <c r="BG233" s="6"/>
      <c r="BH233" s="6"/>
      <c r="BI233" s="6"/>
      <c r="BJ233" s="6"/>
      <c r="BK233" s="6"/>
      <c r="BL233" s="8">
        <v>24.5</v>
      </c>
      <c r="BM233" s="6"/>
      <c r="BN233" s="6"/>
      <c r="BO233" s="6"/>
      <c r="BP233" s="6"/>
      <c r="BQ233" s="6"/>
      <c r="BR233" s="6"/>
      <c r="BS233" s="6"/>
      <c r="BT233" s="6"/>
      <c r="BU233" s="6"/>
      <c r="BV233" s="6"/>
      <c r="BW233" s="6"/>
      <c r="BX233" s="6"/>
      <c r="BY233" s="6"/>
      <c r="BZ233" s="6"/>
      <c r="CA233" s="6"/>
      <c r="CB233" s="6"/>
      <c r="CC233" s="6"/>
      <c r="CD233" s="6"/>
      <c r="CE233" s="6"/>
      <c r="CF233" s="6"/>
      <c r="CG233" s="9">
        <v>24.5</v>
      </c>
    </row>
    <row r="234" spans="1:85" x14ac:dyDescent="0.3">
      <c r="A234" s="3" t="str">
        <f t="shared" si="5"/>
        <v>NON ADDOther Non-ADDGreenhouse Gas (GHG) ResearchTotal</v>
      </c>
      <c r="B234" s="6" t="s">
        <v>223</v>
      </c>
      <c r="C234" s="6" t="s">
        <v>294</v>
      </c>
      <c r="D234" s="6" t="s">
        <v>359</v>
      </c>
      <c r="E234" s="6" t="s">
        <v>24</v>
      </c>
      <c r="F234" s="6"/>
      <c r="G234" s="6"/>
      <c r="H234" s="6"/>
      <c r="I234" s="6"/>
      <c r="J234" s="6"/>
      <c r="K234" s="8">
        <v>70</v>
      </c>
      <c r="L234" s="8">
        <v>70</v>
      </c>
      <c r="M234" s="6"/>
      <c r="N234" s="6"/>
      <c r="O234" s="6"/>
      <c r="P234" s="6"/>
      <c r="Q234" s="6"/>
      <c r="R234" s="6"/>
      <c r="S234" s="6"/>
      <c r="T234" s="6"/>
      <c r="U234" s="6"/>
      <c r="V234" s="6"/>
      <c r="W234" s="6"/>
      <c r="X234" s="6"/>
      <c r="Y234" s="6"/>
      <c r="Z234" s="8">
        <v>30</v>
      </c>
      <c r="AA234" s="8">
        <v>30</v>
      </c>
      <c r="AB234" s="6"/>
      <c r="AC234" s="6"/>
      <c r="AD234" s="6"/>
      <c r="AE234" s="6"/>
      <c r="AF234" s="6"/>
      <c r="AG234" s="8">
        <v>100</v>
      </c>
      <c r="AH234" s="8">
        <v>100</v>
      </c>
      <c r="AI234" s="6"/>
      <c r="AJ234" s="8">
        <v>0</v>
      </c>
      <c r="AK234" s="6"/>
      <c r="AL234" s="6"/>
      <c r="AM234" s="6"/>
      <c r="AN234" s="6"/>
      <c r="AO234" s="8">
        <v>50</v>
      </c>
      <c r="AP234" s="8">
        <v>50</v>
      </c>
      <c r="AQ234" s="6"/>
      <c r="AR234" s="6"/>
      <c r="AS234" s="6"/>
      <c r="AT234" s="6"/>
      <c r="AU234" s="6"/>
      <c r="AV234" s="6"/>
      <c r="AW234" s="6"/>
      <c r="AX234" s="6"/>
      <c r="AY234" s="6"/>
      <c r="AZ234" s="6"/>
      <c r="BA234" s="6"/>
      <c r="BB234" s="6"/>
      <c r="BC234" s="6"/>
      <c r="BD234" s="6"/>
      <c r="BE234" s="6"/>
      <c r="BF234" s="6"/>
      <c r="BG234" s="6"/>
      <c r="BH234" s="6"/>
      <c r="BI234" s="6"/>
      <c r="BJ234" s="6"/>
      <c r="BK234" s="6"/>
      <c r="BL234" s="8">
        <v>250</v>
      </c>
      <c r="BM234" s="6"/>
      <c r="BN234" s="6"/>
      <c r="BO234" s="6"/>
      <c r="BP234" s="6"/>
      <c r="BQ234" s="6"/>
      <c r="BR234" s="6"/>
      <c r="BS234" s="6"/>
      <c r="BT234" s="6"/>
      <c r="BU234" s="6"/>
      <c r="BV234" s="6"/>
      <c r="BW234" s="6"/>
      <c r="BX234" s="6"/>
      <c r="BY234" s="6"/>
      <c r="BZ234" s="6"/>
      <c r="CA234" s="6"/>
      <c r="CB234" s="6"/>
      <c r="CC234" s="6"/>
      <c r="CD234" s="6"/>
      <c r="CE234" s="6"/>
      <c r="CF234" s="6"/>
      <c r="CG234" s="9">
        <v>250</v>
      </c>
    </row>
    <row r="235" spans="1:85" x14ac:dyDescent="0.3">
      <c r="A235" s="3" t="str">
        <f t="shared" si="5"/>
        <v>NON ADDOther Non-ADDHDR:DSC – Harnessing the Data Revolution: Data Science CorpsTotal</v>
      </c>
      <c r="B235" s="6" t="s">
        <v>223</v>
      </c>
      <c r="C235" s="6" t="s">
        <v>294</v>
      </c>
      <c r="D235" s="6" t="s">
        <v>360</v>
      </c>
      <c r="E235" s="6" t="s">
        <v>24</v>
      </c>
      <c r="F235" s="6"/>
      <c r="G235" s="6"/>
      <c r="H235" s="6"/>
      <c r="I235" s="6"/>
      <c r="J235" s="6"/>
      <c r="K235" s="6"/>
      <c r="L235" s="6"/>
      <c r="M235" s="6"/>
      <c r="N235" s="6"/>
      <c r="O235" s="6"/>
      <c r="P235" s="6"/>
      <c r="Q235" s="6"/>
      <c r="R235" s="8">
        <v>3</v>
      </c>
      <c r="S235" s="8">
        <v>3</v>
      </c>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8">
        <v>3</v>
      </c>
      <c r="BM235" s="6"/>
      <c r="BN235" s="6"/>
      <c r="BO235" s="6"/>
      <c r="BP235" s="6"/>
      <c r="BQ235" s="6"/>
      <c r="BR235" s="6"/>
      <c r="BS235" s="6"/>
      <c r="BT235" s="6"/>
      <c r="BU235" s="6"/>
      <c r="BV235" s="6"/>
      <c r="BW235" s="6"/>
      <c r="BX235" s="6"/>
      <c r="BY235" s="6"/>
      <c r="BZ235" s="6"/>
      <c r="CA235" s="6"/>
      <c r="CB235" s="6"/>
      <c r="CC235" s="6"/>
      <c r="CD235" s="6"/>
      <c r="CE235" s="6"/>
      <c r="CF235" s="6"/>
      <c r="CG235" s="9">
        <v>3</v>
      </c>
    </row>
    <row r="236" spans="1:85" x14ac:dyDescent="0.3">
      <c r="A236" s="3" t="str">
        <f t="shared" si="5"/>
        <v>NON ADDOther Non-ADDInnovative Technology Experiences for Teachers &amp; Students (ITEST)(H-1B)Total</v>
      </c>
      <c r="B236" s="6" t="s">
        <v>223</v>
      </c>
      <c r="C236" s="6" t="s">
        <v>294</v>
      </c>
      <c r="D236" s="6" t="s">
        <v>514</v>
      </c>
      <c r="E236" s="6" t="s">
        <v>24</v>
      </c>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8">
        <v>39.71</v>
      </c>
      <c r="BO236" s="6"/>
      <c r="BP236" s="6"/>
      <c r="BQ236" s="6"/>
      <c r="BR236" s="8">
        <v>39.71</v>
      </c>
      <c r="BS236" s="8">
        <v>39.71</v>
      </c>
      <c r="BT236" s="6"/>
      <c r="BU236" s="6"/>
      <c r="BV236" s="6"/>
      <c r="BW236" s="6"/>
      <c r="BX236" s="6"/>
      <c r="BY236" s="6"/>
      <c r="BZ236" s="6"/>
      <c r="CA236" s="6"/>
      <c r="CB236" s="6"/>
      <c r="CC236" s="6"/>
      <c r="CD236" s="6"/>
      <c r="CE236" s="6"/>
      <c r="CF236" s="6"/>
      <c r="CG236" s="9">
        <v>39.71</v>
      </c>
    </row>
    <row r="237" spans="1:85" x14ac:dyDescent="0.3">
      <c r="A237" s="3" t="str">
        <f t="shared" si="5"/>
        <v>NON ADDOther Non-ADDLeadership Class Computing FacilityTotal</v>
      </c>
      <c r="B237" s="6" t="s">
        <v>223</v>
      </c>
      <c r="C237" s="6" t="s">
        <v>294</v>
      </c>
      <c r="D237" s="6" t="s">
        <v>309</v>
      </c>
      <c r="E237" s="6" t="s">
        <v>24</v>
      </c>
      <c r="F237" s="6"/>
      <c r="G237" s="6"/>
      <c r="H237" s="6"/>
      <c r="I237" s="6"/>
      <c r="J237" s="6"/>
      <c r="K237" s="6"/>
      <c r="L237" s="6"/>
      <c r="M237" s="6"/>
      <c r="N237" s="6"/>
      <c r="O237" s="6"/>
      <c r="P237" s="6"/>
      <c r="Q237" s="8">
        <v>0</v>
      </c>
      <c r="R237" s="6"/>
      <c r="S237" s="8">
        <v>0</v>
      </c>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8">
        <v>0</v>
      </c>
      <c r="BM237" s="6"/>
      <c r="BN237" s="6"/>
      <c r="BO237" s="6"/>
      <c r="BP237" s="6"/>
      <c r="BQ237" s="6"/>
      <c r="BR237" s="6"/>
      <c r="BS237" s="6"/>
      <c r="BT237" s="6"/>
      <c r="BU237" s="6"/>
      <c r="BV237" s="6"/>
      <c r="BW237" s="6"/>
      <c r="BX237" s="6"/>
      <c r="BY237" s="6"/>
      <c r="BZ237" s="6"/>
      <c r="CA237" s="6"/>
      <c r="CB237" s="6"/>
      <c r="CC237" s="6"/>
      <c r="CD237" s="6"/>
      <c r="CE237" s="6"/>
      <c r="CF237" s="6"/>
      <c r="CG237" s="9">
        <v>0</v>
      </c>
    </row>
    <row r="238" spans="1:85" x14ac:dyDescent="0.3">
      <c r="A238" s="3" t="str">
        <f t="shared" si="5"/>
        <v>NON ADDOther Non-ADDLHC UpgradeTotal</v>
      </c>
      <c r="B238" s="6" t="s">
        <v>223</v>
      </c>
      <c r="C238" s="6" t="s">
        <v>294</v>
      </c>
      <c r="D238" s="6" t="s">
        <v>310</v>
      </c>
      <c r="E238" s="6" t="s">
        <v>24</v>
      </c>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8">
        <v>0</v>
      </c>
      <c r="AO238" s="6"/>
      <c r="AP238" s="8">
        <v>0</v>
      </c>
      <c r="AQ238" s="6"/>
      <c r="AR238" s="6"/>
      <c r="AS238" s="6"/>
      <c r="AT238" s="6"/>
      <c r="AU238" s="6"/>
      <c r="AV238" s="6"/>
      <c r="AW238" s="6"/>
      <c r="AX238" s="6"/>
      <c r="AY238" s="6"/>
      <c r="AZ238" s="6"/>
      <c r="BA238" s="6"/>
      <c r="BB238" s="6"/>
      <c r="BC238" s="6"/>
      <c r="BD238" s="6"/>
      <c r="BE238" s="6"/>
      <c r="BF238" s="6"/>
      <c r="BG238" s="6"/>
      <c r="BH238" s="6"/>
      <c r="BI238" s="6"/>
      <c r="BJ238" s="6"/>
      <c r="BK238" s="6"/>
      <c r="BL238" s="8">
        <v>0</v>
      </c>
      <c r="BM238" s="6"/>
      <c r="BN238" s="6"/>
      <c r="BO238" s="6"/>
      <c r="BP238" s="6"/>
      <c r="BQ238" s="6"/>
      <c r="BR238" s="6"/>
      <c r="BS238" s="6"/>
      <c r="BT238" s="8">
        <v>33</v>
      </c>
      <c r="BU238" s="8">
        <v>33</v>
      </c>
      <c r="BV238" s="8">
        <v>33</v>
      </c>
      <c r="BW238" s="6"/>
      <c r="BX238" s="6"/>
      <c r="BY238" s="6"/>
      <c r="BZ238" s="6"/>
      <c r="CA238" s="6"/>
      <c r="CB238" s="6"/>
      <c r="CC238" s="6"/>
      <c r="CD238" s="6"/>
      <c r="CE238" s="6"/>
      <c r="CF238" s="6"/>
      <c r="CG238" s="9">
        <v>33</v>
      </c>
    </row>
    <row r="239" spans="1:85" x14ac:dyDescent="0.3">
      <c r="A239" s="3" t="str">
        <f t="shared" si="5"/>
        <v>NON ADDOther Non-ADDMPS LEAPSTotal</v>
      </c>
      <c r="B239" s="6" t="s">
        <v>223</v>
      </c>
      <c r="C239" s="6" t="s">
        <v>294</v>
      </c>
      <c r="D239" s="6" t="s">
        <v>361</v>
      </c>
      <c r="E239" s="6" t="s">
        <v>24</v>
      </c>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8">
        <v>10</v>
      </c>
      <c r="AN239" s="6"/>
      <c r="AO239" s="6"/>
      <c r="AP239" s="8">
        <v>10</v>
      </c>
      <c r="AQ239" s="6"/>
      <c r="AR239" s="6"/>
      <c r="AS239" s="6"/>
      <c r="AT239" s="6"/>
      <c r="AU239" s="6"/>
      <c r="AV239" s="6"/>
      <c r="AW239" s="6"/>
      <c r="AX239" s="6"/>
      <c r="AY239" s="6"/>
      <c r="AZ239" s="6"/>
      <c r="BA239" s="6"/>
      <c r="BB239" s="6"/>
      <c r="BC239" s="6"/>
      <c r="BD239" s="6"/>
      <c r="BE239" s="6"/>
      <c r="BF239" s="6"/>
      <c r="BG239" s="6"/>
      <c r="BH239" s="6"/>
      <c r="BI239" s="6"/>
      <c r="BJ239" s="6"/>
      <c r="BK239" s="6"/>
      <c r="BL239" s="8">
        <v>10</v>
      </c>
      <c r="BM239" s="6"/>
      <c r="BN239" s="6"/>
      <c r="BO239" s="6"/>
      <c r="BP239" s="6"/>
      <c r="BQ239" s="6"/>
      <c r="BR239" s="6"/>
      <c r="BS239" s="6"/>
      <c r="BT239" s="6"/>
      <c r="BU239" s="6"/>
      <c r="BV239" s="6"/>
      <c r="BW239" s="6"/>
      <c r="BX239" s="6"/>
      <c r="BY239" s="6"/>
      <c r="BZ239" s="6"/>
      <c r="CA239" s="6"/>
      <c r="CB239" s="6"/>
      <c r="CC239" s="6"/>
      <c r="CD239" s="6"/>
      <c r="CE239" s="6"/>
      <c r="CF239" s="6"/>
      <c r="CG239" s="9">
        <v>10</v>
      </c>
    </row>
    <row r="240" spans="1:85" x14ac:dyDescent="0.3">
      <c r="A240" s="3" t="str">
        <f t="shared" si="5"/>
        <v>NON ADDOther Non-ADDNational Earthquake Hazards Reduction Program (NEHRP)Total</v>
      </c>
      <c r="B240" s="6" t="s">
        <v>223</v>
      </c>
      <c r="C240" s="6" t="s">
        <v>294</v>
      </c>
      <c r="D240" s="6" t="s">
        <v>312</v>
      </c>
      <c r="E240" s="6" t="s">
        <v>24</v>
      </c>
      <c r="F240" s="6"/>
      <c r="G240" s="6"/>
      <c r="H240" s="6"/>
      <c r="I240" s="6"/>
      <c r="J240" s="6"/>
      <c r="K240" s="6"/>
      <c r="L240" s="6"/>
      <c r="M240" s="6"/>
      <c r="N240" s="6"/>
      <c r="O240" s="6"/>
      <c r="P240" s="6"/>
      <c r="Q240" s="6"/>
      <c r="R240" s="6"/>
      <c r="S240" s="6"/>
      <c r="T240" s="6"/>
      <c r="U240" s="6"/>
      <c r="V240" s="6"/>
      <c r="W240" s="6"/>
      <c r="X240" s="6"/>
      <c r="Y240" s="6"/>
      <c r="Z240" s="8">
        <v>42</v>
      </c>
      <c r="AA240" s="8">
        <v>42</v>
      </c>
      <c r="AB240" s="6"/>
      <c r="AC240" s="8">
        <v>12</v>
      </c>
      <c r="AD240" s="6"/>
      <c r="AE240" s="6"/>
      <c r="AF240" s="6"/>
      <c r="AG240" s="6"/>
      <c r="AH240" s="8">
        <v>12</v>
      </c>
      <c r="AI240" s="6"/>
      <c r="AJ240" s="6"/>
      <c r="AK240" s="6"/>
      <c r="AL240" s="6"/>
      <c r="AM240" s="6"/>
      <c r="AN240" s="6"/>
      <c r="AO240" s="6"/>
      <c r="AP240" s="6"/>
      <c r="AQ240" s="6"/>
      <c r="AR240" s="6"/>
      <c r="AS240" s="6"/>
      <c r="AT240" s="6"/>
      <c r="AU240" s="6"/>
      <c r="AV240" s="6"/>
      <c r="AW240" s="6"/>
      <c r="AX240" s="6"/>
      <c r="AY240" s="6"/>
      <c r="AZ240" s="6"/>
      <c r="BA240" s="8">
        <v>0</v>
      </c>
      <c r="BB240" s="8">
        <v>0</v>
      </c>
      <c r="BC240" s="6"/>
      <c r="BD240" s="6"/>
      <c r="BE240" s="6"/>
      <c r="BF240" s="6"/>
      <c r="BG240" s="6"/>
      <c r="BH240" s="6"/>
      <c r="BI240" s="6"/>
      <c r="BJ240" s="6"/>
      <c r="BK240" s="6"/>
      <c r="BL240" s="8">
        <v>54</v>
      </c>
      <c r="BM240" s="6"/>
      <c r="BN240" s="6"/>
      <c r="BO240" s="6"/>
      <c r="BP240" s="6"/>
      <c r="BQ240" s="6"/>
      <c r="BR240" s="6"/>
      <c r="BS240" s="6"/>
      <c r="BT240" s="6"/>
      <c r="BU240" s="6"/>
      <c r="BV240" s="6"/>
      <c r="BW240" s="6"/>
      <c r="BX240" s="6"/>
      <c r="BY240" s="6"/>
      <c r="BZ240" s="6"/>
      <c r="CA240" s="6"/>
      <c r="CB240" s="6"/>
      <c r="CC240" s="6"/>
      <c r="CD240" s="6"/>
      <c r="CE240" s="6"/>
      <c r="CF240" s="6"/>
      <c r="CG240" s="9">
        <v>54</v>
      </c>
    </row>
    <row r="241" spans="1:85" x14ac:dyDescent="0.3">
      <c r="A241" s="3" t="str">
        <f t="shared" si="5"/>
        <v>NON ADDOther Non-ADDNational Windstorm Impacts Reduction Program (NWIRP)Total</v>
      </c>
      <c r="B241" s="6" t="s">
        <v>223</v>
      </c>
      <c r="C241" s="6" t="s">
        <v>294</v>
      </c>
      <c r="D241" s="6" t="s">
        <v>363</v>
      </c>
      <c r="E241" s="6" t="s">
        <v>24</v>
      </c>
      <c r="F241" s="6"/>
      <c r="G241" s="6"/>
      <c r="H241" s="6"/>
      <c r="I241" s="6"/>
      <c r="J241" s="6"/>
      <c r="K241" s="6"/>
      <c r="L241" s="6"/>
      <c r="M241" s="6"/>
      <c r="N241" s="6"/>
      <c r="O241" s="6"/>
      <c r="P241" s="6"/>
      <c r="Q241" s="6"/>
      <c r="R241" s="6"/>
      <c r="S241" s="6"/>
      <c r="T241" s="6"/>
      <c r="U241" s="6"/>
      <c r="V241" s="6"/>
      <c r="W241" s="6"/>
      <c r="X241" s="6"/>
      <c r="Y241" s="6"/>
      <c r="Z241" s="8">
        <v>24</v>
      </c>
      <c r="AA241" s="8">
        <v>24</v>
      </c>
      <c r="AB241" s="6"/>
      <c r="AC241" s="6"/>
      <c r="AD241" s="6"/>
      <c r="AE241" s="6"/>
      <c r="AF241" s="6"/>
      <c r="AG241" s="8">
        <v>21.5</v>
      </c>
      <c r="AH241" s="8">
        <v>21.5</v>
      </c>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8">
        <v>45.5</v>
      </c>
      <c r="BM241" s="6"/>
      <c r="BN241" s="6"/>
      <c r="BO241" s="6"/>
      <c r="BP241" s="6"/>
      <c r="BQ241" s="6"/>
      <c r="BR241" s="6"/>
      <c r="BS241" s="6"/>
      <c r="BT241" s="6"/>
      <c r="BU241" s="6"/>
      <c r="BV241" s="6"/>
      <c r="BW241" s="6"/>
      <c r="BX241" s="6"/>
      <c r="BY241" s="6"/>
      <c r="BZ241" s="6"/>
      <c r="CA241" s="6"/>
      <c r="CB241" s="6"/>
      <c r="CC241" s="6"/>
      <c r="CD241" s="6"/>
      <c r="CE241" s="6"/>
      <c r="CF241" s="6"/>
      <c r="CG241" s="9">
        <v>45.5</v>
      </c>
    </row>
    <row r="242" spans="1:85" x14ac:dyDescent="0.3">
      <c r="A242" s="3" t="str">
        <f t="shared" si="5"/>
        <v>NON ADDOther Non-ADDNSF Scholarships in STEM (S-STEM) (H-1B)Total</v>
      </c>
      <c r="B242" s="6" t="s">
        <v>223</v>
      </c>
      <c r="C242" s="6" t="s">
        <v>294</v>
      </c>
      <c r="D242" s="6" t="s">
        <v>313</v>
      </c>
      <c r="E242" s="6" t="s">
        <v>24</v>
      </c>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8">
        <v>119.15</v>
      </c>
      <c r="BP242" s="6"/>
      <c r="BQ242" s="6"/>
      <c r="BR242" s="8">
        <v>119.15</v>
      </c>
      <c r="BS242" s="8">
        <v>119.15</v>
      </c>
      <c r="BT242" s="6"/>
      <c r="BU242" s="6"/>
      <c r="BV242" s="6"/>
      <c r="BW242" s="6"/>
      <c r="BX242" s="6"/>
      <c r="BY242" s="6"/>
      <c r="BZ242" s="6"/>
      <c r="CA242" s="6"/>
      <c r="CB242" s="6"/>
      <c r="CC242" s="6"/>
      <c r="CD242" s="6"/>
      <c r="CE242" s="6"/>
      <c r="CF242" s="6"/>
      <c r="CG242" s="9">
        <v>119.15</v>
      </c>
    </row>
    <row r="243" spans="1:85" x14ac:dyDescent="0.3">
      <c r="A243" s="3" t="str">
        <f t="shared" si="5"/>
        <v>NON ADDOther Non-ADDPartnerships for Research &amp; Education in Materials (PREM)Total</v>
      </c>
      <c r="B243" s="6" t="s">
        <v>223</v>
      </c>
      <c r="C243" s="6" t="s">
        <v>294</v>
      </c>
      <c r="D243" s="6" t="s">
        <v>314</v>
      </c>
      <c r="E243" s="6" t="s">
        <v>24</v>
      </c>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8">
        <v>9</v>
      </c>
      <c r="AL243" s="6"/>
      <c r="AM243" s="6"/>
      <c r="AN243" s="6"/>
      <c r="AO243" s="6"/>
      <c r="AP243" s="8">
        <v>9</v>
      </c>
      <c r="AQ243" s="6"/>
      <c r="AR243" s="6"/>
      <c r="AS243" s="6"/>
      <c r="AT243" s="6"/>
      <c r="AU243" s="6"/>
      <c r="AV243" s="6"/>
      <c r="AW243" s="6"/>
      <c r="AX243" s="6"/>
      <c r="AY243" s="6"/>
      <c r="AZ243" s="6"/>
      <c r="BA243" s="6"/>
      <c r="BB243" s="6"/>
      <c r="BC243" s="6"/>
      <c r="BD243" s="6"/>
      <c r="BE243" s="6"/>
      <c r="BF243" s="6"/>
      <c r="BG243" s="6"/>
      <c r="BH243" s="6"/>
      <c r="BI243" s="6"/>
      <c r="BJ243" s="6"/>
      <c r="BK243" s="6"/>
      <c r="BL243" s="8">
        <v>9</v>
      </c>
      <c r="BM243" s="6"/>
      <c r="BN243" s="6"/>
      <c r="BO243" s="6"/>
      <c r="BP243" s="6"/>
      <c r="BQ243" s="6"/>
      <c r="BR243" s="6"/>
      <c r="BS243" s="6"/>
      <c r="BT243" s="6"/>
      <c r="BU243" s="6"/>
      <c r="BV243" s="6"/>
      <c r="BW243" s="6"/>
      <c r="BX243" s="6"/>
      <c r="BY243" s="6"/>
      <c r="BZ243" s="6"/>
      <c r="CA243" s="6"/>
      <c r="CB243" s="6"/>
      <c r="CC243" s="6"/>
      <c r="CD243" s="6"/>
      <c r="CE243" s="6"/>
      <c r="CF243" s="6"/>
      <c r="CG243" s="9">
        <v>9</v>
      </c>
    </row>
    <row r="244" spans="1:85" x14ac:dyDescent="0.3">
      <c r="A244" s="3" t="str">
        <f t="shared" si="5"/>
        <v>NON ADDOther Non-ADDPlant Genome ResearchTotal</v>
      </c>
      <c r="B244" s="6" t="s">
        <v>223</v>
      </c>
      <c r="C244" s="6" t="s">
        <v>294</v>
      </c>
      <c r="D244" s="6" t="s">
        <v>315</v>
      </c>
      <c r="E244" s="6" t="s">
        <v>24</v>
      </c>
      <c r="F244" s="6"/>
      <c r="G244" s="6"/>
      <c r="H244" s="6"/>
      <c r="I244" s="6"/>
      <c r="J244" s="6"/>
      <c r="K244" s="8">
        <v>49.66</v>
      </c>
      <c r="L244" s="8">
        <v>49.66</v>
      </c>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8">
        <v>49.66</v>
      </c>
      <c r="BM244" s="6"/>
      <c r="BN244" s="6"/>
      <c r="BO244" s="6"/>
      <c r="BP244" s="6"/>
      <c r="BQ244" s="6"/>
      <c r="BR244" s="6"/>
      <c r="BS244" s="6"/>
      <c r="BT244" s="6"/>
      <c r="BU244" s="6"/>
      <c r="BV244" s="6"/>
      <c r="BW244" s="6"/>
      <c r="BX244" s="6"/>
      <c r="BY244" s="6"/>
      <c r="BZ244" s="6"/>
      <c r="CA244" s="6"/>
      <c r="CB244" s="6"/>
      <c r="CC244" s="6"/>
      <c r="CD244" s="6"/>
      <c r="CE244" s="6"/>
      <c r="CF244" s="6"/>
      <c r="CG244" s="9">
        <v>49.66</v>
      </c>
    </row>
    <row r="245" spans="1:85" x14ac:dyDescent="0.3">
      <c r="A245" s="3" t="str">
        <f t="shared" si="5"/>
        <v>NON ADDOther Non-ADDResearch at Undergraduate Institutions (RUI)Total</v>
      </c>
      <c r="B245" s="6" t="s">
        <v>223</v>
      </c>
      <c r="C245" s="6" t="s">
        <v>294</v>
      </c>
      <c r="D245" s="6" t="s">
        <v>318</v>
      </c>
      <c r="E245" s="6" t="s">
        <v>24</v>
      </c>
      <c r="F245" s="6"/>
      <c r="G245" s="6"/>
      <c r="H245" s="6"/>
      <c r="I245" s="6"/>
      <c r="J245" s="6"/>
      <c r="K245" s="8">
        <v>15</v>
      </c>
      <c r="L245" s="8">
        <v>15</v>
      </c>
      <c r="M245" s="6"/>
      <c r="N245" s="6"/>
      <c r="O245" s="6"/>
      <c r="P245" s="6"/>
      <c r="Q245" s="6"/>
      <c r="R245" s="8">
        <v>4.5</v>
      </c>
      <c r="S245" s="8">
        <v>4.5</v>
      </c>
      <c r="T245" s="6"/>
      <c r="U245" s="6"/>
      <c r="V245" s="6"/>
      <c r="W245" s="6"/>
      <c r="X245" s="6"/>
      <c r="Y245" s="6"/>
      <c r="Z245" s="6"/>
      <c r="AA245" s="6"/>
      <c r="AB245" s="6"/>
      <c r="AC245" s="6"/>
      <c r="AD245" s="6"/>
      <c r="AE245" s="6"/>
      <c r="AF245" s="6"/>
      <c r="AG245" s="6"/>
      <c r="AH245" s="6"/>
      <c r="AI245" s="8">
        <v>1</v>
      </c>
      <c r="AJ245" s="8">
        <v>6.6</v>
      </c>
      <c r="AK245" s="8">
        <v>2</v>
      </c>
      <c r="AL245" s="8">
        <v>2</v>
      </c>
      <c r="AM245" s="6"/>
      <c r="AN245" s="8">
        <v>3.29</v>
      </c>
      <c r="AO245" s="6"/>
      <c r="AP245" s="8">
        <v>14.89</v>
      </c>
      <c r="AQ245" s="8">
        <v>0</v>
      </c>
      <c r="AR245" s="6"/>
      <c r="AS245" s="6"/>
      <c r="AT245" s="8">
        <v>0</v>
      </c>
      <c r="AU245" s="8">
        <v>0.6</v>
      </c>
      <c r="AV245" s="8">
        <v>0.6</v>
      </c>
      <c r="AW245" s="6"/>
      <c r="AX245" s="6"/>
      <c r="AY245" s="6"/>
      <c r="AZ245" s="6"/>
      <c r="BA245" s="6"/>
      <c r="BB245" s="6"/>
      <c r="BC245" s="6"/>
      <c r="BD245" s="6"/>
      <c r="BE245" s="6"/>
      <c r="BF245" s="6"/>
      <c r="BG245" s="6"/>
      <c r="BH245" s="6"/>
      <c r="BI245" s="6"/>
      <c r="BJ245" s="6"/>
      <c r="BK245" s="6"/>
      <c r="BL245" s="8">
        <v>34.99</v>
      </c>
      <c r="BM245" s="6"/>
      <c r="BN245" s="6"/>
      <c r="BO245" s="6"/>
      <c r="BP245" s="6"/>
      <c r="BQ245" s="6"/>
      <c r="BR245" s="6"/>
      <c r="BS245" s="6"/>
      <c r="BT245" s="6"/>
      <c r="BU245" s="6"/>
      <c r="BV245" s="6"/>
      <c r="BW245" s="6"/>
      <c r="BX245" s="6"/>
      <c r="BY245" s="6"/>
      <c r="BZ245" s="6"/>
      <c r="CA245" s="6"/>
      <c r="CB245" s="6"/>
      <c r="CC245" s="6"/>
      <c r="CD245" s="6"/>
      <c r="CE245" s="6"/>
      <c r="CF245" s="6"/>
      <c r="CG245" s="9">
        <v>34.99</v>
      </c>
    </row>
    <row r="246" spans="1:85" x14ac:dyDescent="0.3">
      <c r="A246" s="3" t="str">
        <f t="shared" si="5"/>
        <v>NON ADDOther Non-ADDResearch in Disabilities Education (RDE)Total</v>
      </c>
      <c r="B246" s="6" t="s">
        <v>223</v>
      </c>
      <c r="C246" s="6" t="s">
        <v>294</v>
      </c>
      <c r="D246" s="6" t="s">
        <v>319</v>
      </c>
      <c r="E246" s="6" t="s">
        <v>24</v>
      </c>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8">
        <v>6.5</v>
      </c>
      <c r="BO246" s="6"/>
      <c r="BP246" s="6"/>
      <c r="BQ246" s="6"/>
      <c r="BR246" s="8">
        <v>6.5</v>
      </c>
      <c r="BS246" s="8">
        <v>6.5</v>
      </c>
      <c r="BT246" s="6"/>
      <c r="BU246" s="6"/>
      <c r="BV246" s="6"/>
      <c r="BW246" s="6"/>
      <c r="BX246" s="6"/>
      <c r="BY246" s="6"/>
      <c r="BZ246" s="6"/>
      <c r="CA246" s="6"/>
      <c r="CB246" s="6"/>
      <c r="CC246" s="6"/>
      <c r="CD246" s="6"/>
      <c r="CE246" s="6"/>
      <c r="CF246" s="6"/>
      <c r="CG246" s="9">
        <v>6.5</v>
      </c>
    </row>
    <row r="247" spans="1:85" x14ac:dyDescent="0.3">
      <c r="A247" s="3" t="str">
        <f t="shared" si="5"/>
        <v>NON ADDOther Non-ADDResearch on Gender in Science &amp; Engineering (GSE)Total</v>
      </c>
      <c r="B247" s="6" t="s">
        <v>223</v>
      </c>
      <c r="C247" s="6" t="s">
        <v>294</v>
      </c>
      <c r="D247" s="6" t="s">
        <v>320</v>
      </c>
      <c r="E247" s="6" t="s">
        <v>24</v>
      </c>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8">
        <v>10.5</v>
      </c>
      <c r="BO247" s="6"/>
      <c r="BP247" s="6"/>
      <c r="BQ247" s="6"/>
      <c r="BR247" s="8">
        <v>10.5</v>
      </c>
      <c r="BS247" s="8">
        <v>10.5</v>
      </c>
      <c r="BT247" s="6"/>
      <c r="BU247" s="6"/>
      <c r="BV247" s="6"/>
      <c r="BW247" s="6"/>
      <c r="BX247" s="6"/>
      <c r="BY247" s="6"/>
      <c r="BZ247" s="6"/>
      <c r="CA247" s="6"/>
      <c r="CB247" s="6"/>
      <c r="CC247" s="6"/>
      <c r="CD247" s="6"/>
      <c r="CE247" s="6"/>
      <c r="CF247" s="6"/>
      <c r="CG247" s="9">
        <v>10.5</v>
      </c>
    </row>
    <row r="248" spans="1:85" x14ac:dyDescent="0.3">
      <c r="A248" s="3" t="str">
        <f t="shared" si="5"/>
        <v>NON ADDOther Non-ADDSBE Build and BroadenTotal</v>
      </c>
      <c r="B248" s="6" t="s">
        <v>223</v>
      </c>
      <c r="C248" s="6" t="s">
        <v>294</v>
      </c>
      <c r="D248" s="6" t="s">
        <v>321</v>
      </c>
      <c r="E248" s="6" t="s">
        <v>24</v>
      </c>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8">
        <v>8</v>
      </c>
      <c r="AV248" s="8">
        <v>8</v>
      </c>
      <c r="AW248" s="6"/>
      <c r="AX248" s="6"/>
      <c r="AY248" s="6"/>
      <c r="AZ248" s="6"/>
      <c r="BA248" s="6"/>
      <c r="BB248" s="6"/>
      <c r="BC248" s="6"/>
      <c r="BD248" s="6"/>
      <c r="BE248" s="6"/>
      <c r="BF248" s="6"/>
      <c r="BG248" s="6"/>
      <c r="BH248" s="6"/>
      <c r="BI248" s="6"/>
      <c r="BJ248" s="6"/>
      <c r="BK248" s="6"/>
      <c r="BL248" s="8">
        <v>8</v>
      </c>
      <c r="BM248" s="6"/>
      <c r="BN248" s="6"/>
      <c r="BO248" s="6"/>
      <c r="BP248" s="6"/>
      <c r="BQ248" s="6"/>
      <c r="BR248" s="6"/>
      <c r="BS248" s="6"/>
      <c r="BT248" s="6"/>
      <c r="BU248" s="6"/>
      <c r="BV248" s="6"/>
      <c r="BW248" s="6"/>
      <c r="BX248" s="6"/>
      <c r="BY248" s="6"/>
      <c r="BZ248" s="6"/>
      <c r="CA248" s="6"/>
      <c r="CB248" s="6"/>
      <c r="CC248" s="6"/>
      <c r="CD248" s="6"/>
      <c r="CE248" s="6"/>
      <c r="CF248" s="6"/>
      <c r="CG248" s="9">
        <v>8</v>
      </c>
    </row>
    <row r="249" spans="1:85" x14ac:dyDescent="0.3">
      <c r="A249" s="3" t="str">
        <f t="shared" si="5"/>
        <v>NON ADDOther Non-ADDSBE Science of Broadening ParticipationTotal</v>
      </c>
      <c r="B249" s="6" t="s">
        <v>223</v>
      </c>
      <c r="C249" s="6" t="s">
        <v>294</v>
      </c>
      <c r="D249" s="6" t="s">
        <v>322</v>
      </c>
      <c r="E249" s="6" t="s">
        <v>24</v>
      </c>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8">
        <v>1.5</v>
      </c>
      <c r="AV249" s="8">
        <v>1.5</v>
      </c>
      <c r="AW249" s="6"/>
      <c r="AX249" s="6"/>
      <c r="AY249" s="6"/>
      <c r="AZ249" s="6"/>
      <c r="BA249" s="6"/>
      <c r="BB249" s="6"/>
      <c r="BC249" s="6"/>
      <c r="BD249" s="6"/>
      <c r="BE249" s="6"/>
      <c r="BF249" s="6"/>
      <c r="BG249" s="6"/>
      <c r="BH249" s="6"/>
      <c r="BI249" s="6"/>
      <c r="BJ249" s="6"/>
      <c r="BK249" s="6"/>
      <c r="BL249" s="8">
        <v>1.5</v>
      </c>
      <c r="BM249" s="6"/>
      <c r="BN249" s="6"/>
      <c r="BO249" s="6"/>
      <c r="BP249" s="6"/>
      <c r="BQ249" s="6"/>
      <c r="BR249" s="6"/>
      <c r="BS249" s="6"/>
      <c r="BT249" s="6"/>
      <c r="BU249" s="6"/>
      <c r="BV249" s="6"/>
      <c r="BW249" s="6"/>
      <c r="BX249" s="6"/>
      <c r="BY249" s="6"/>
      <c r="BZ249" s="6"/>
      <c r="CA249" s="6"/>
      <c r="CB249" s="6"/>
      <c r="CC249" s="6"/>
      <c r="CD249" s="6"/>
      <c r="CE249" s="6"/>
      <c r="CF249" s="6"/>
      <c r="CG249" s="9">
        <v>1.5</v>
      </c>
    </row>
    <row r="250" spans="1:85" x14ac:dyDescent="0.3">
      <c r="A250" s="3" t="str">
        <f t="shared" si="5"/>
        <v>NON ADDOther Non-ADDSignificant Opportunities in Atmospheric Rsch &amp; Sci (SOARS)Total</v>
      </c>
      <c r="B250" s="6" t="s">
        <v>223</v>
      </c>
      <c r="C250" s="6" t="s">
        <v>294</v>
      </c>
      <c r="D250" s="6" t="s">
        <v>323</v>
      </c>
      <c r="E250" s="6" t="s">
        <v>24</v>
      </c>
      <c r="F250" s="6"/>
      <c r="G250" s="6"/>
      <c r="H250" s="6"/>
      <c r="I250" s="6"/>
      <c r="J250" s="6"/>
      <c r="K250" s="6"/>
      <c r="L250" s="6"/>
      <c r="M250" s="6"/>
      <c r="N250" s="6"/>
      <c r="O250" s="6"/>
      <c r="P250" s="6"/>
      <c r="Q250" s="6"/>
      <c r="R250" s="6"/>
      <c r="S250" s="6"/>
      <c r="T250" s="6"/>
      <c r="U250" s="6"/>
      <c r="V250" s="6"/>
      <c r="W250" s="6"/>
      <c r="X250" s="6"/>
      <c r="Y250" s="6"/>
      <c r="Z250" s="6"/>
      <c r="AA250" s="6"/>
      <c r="AB250" s="8">
        <v>0.85</v>
      </c>
      <c r="AC250" s="6"/>
      <c r="AD250" s="6"/>
      <c r="AE250" s="6"/>
      <c r="AF250" s="6"/>
      <c r="AG250" s="6"/>
      <c r="AH250" s="8">
        <v>0.85</v>
      </c>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8">
        <v>0.85</v>
      </c>
      <c r="BM250" s="6"/>
      <c r="BN250" s="6"/>
      <c r="BO250" s="6"/>
      <c r="BP250" s="6"/>
      <c r="BQ250" s="6"/>
      <c r="BR250" s="6"/>
      <c r="BS250" s="6"/>
      <c r="BT250" s="6"/>
      <c r="BU250" s="6"/>
      <c r="BV250" s="6"/>
      <c r="BW250" s="6"/>
      <c r="BX250" s="6"/>
      <c r="BY250" s="6"/>
      <c r="BZ250" s="6"/>
      <c r="CA250" s="6"/>
      <c r="CB250" s="6"/>
      <c r="CC250" s="6"/>
      <c r="CD250" s="6"/>
      <c r="CE250" s="6"/>
      <c r="CF250" s="6"/>
      <c r="CG250" s="9">
        <v>0.85</v>
      </c>
    </row>
    <row r="251" spans="1:85" x14ac:dyDescent="0.3">
      <c r="A251" s="3" t="str">
        <f t="shared" si="5"/>
        <v>NON ADDOther Non-ADDSpectrum Innovation InitiativeTotal</v>
      </c>
      <c r="B251" s="6" t="s">
        <v>223</v>
      </c>
      <c r="C251" s="6" t="s">
        <v>294</v>
      </c>
      <c r="D251" s="6" t="s">
        <v>324</v>
      </c>
      <c r="E251" s="6" t="s">
        <v>24</v>
      </c>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8">
        <v>17</v>
      </c>
      <c r="AN251" s="6"/>
      <c r="AO251" s="6"/>
      <c r="AP251" s="8">
        <v>17</v>
      </c>
      <c r="AQ251" s="6"/>
      <c r="AR251" s="6"/>
      <c r="AS251" s="6"/>
      <c r="AT251" s="6"/>
      <c r="AU251" s="6"/>
      <c r="AV251" s="6"/>
      <c r="AW251" s="6"/>
      <c r="AX251" s="6"/>
      <c r="AY251" s="6"/>
      <c r="AZ251" s="6"/>
      <c r="BA251" s="6"/>
      <c r="BB251" s="6"/>
      <c r="BC251" s="6"/>
      <c r="BD251" s="6"/>
      <c r="BE251" s="6"/>
      <c r="BF251" s="6"/>
      <c r="BG251" s="6"/>
      <c r="BH251" s="6"/>
      <c r="BI251" s="6"/>
      <c r="BJ251" s="6"/>
      <c r="BK251" s="6"/>
      <c r="BL251" s="8">
        <v>17</v>
      </c>
      <c r="BM251" s="6"/>
      <c r="BN251" s="6"/>
      <c r="BO251" s="6"/>
      <c r="BP251" s="6"/>
      <c r="BQ251" s="6"/>
      <c r="BR251" s="6"/>
      <c r="BS251" s="6"/>
      <c r="BT251" s="6"/>
      <c r="BU251" s="6"/>
      <c r="BV251" s="6"/>
      <c r="BW251" s="6"/>
      <c r="BX251" s="6"/>
      <c r="BY251" s="6"/>
      <c r="BZ251" s="6"/>
      <c r="CA251" s="6"/>
      <c r="CB251" s="6"/>
      <c r="CC251" s="6"/>
      <c r="CD251" s="6"/>
      <c r="CE251" s="6"/>
      <c r="CF251" s="6"/>
      <c r="CG251" s="9">
        <v>17</v>
      </c>
    </row>
  </sheetData>
  <mergeCells count="13">
    <mergeCell ref="F2:J2"/>
    <mergeCell ref="BT4:BV4"/>
    <mergeCell ref="BW4:BZ4"/>
    <mergeCell ref="CA4:CC4"/>
    <mergeCell ref="BZ5:BZ6"/>
    <mergeCell ref="CC5:CC6"/>
    <mergeCell ref="CF5:CF6"/>
    <mergeCell ref="CD4:CF4"/>
    <mergeCell ref="F4:BL4"/>
    <mergeCell ref="BM4:BS4"/>
    <mergeCell ref="BL5:BL6"/>
    <mergeCell ref="BS5:BS6"/>
    <mergeCell ref="BV5:BV6"/>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6F60D-0572-4EF0-8156-9310BEC8CA21}">
  <sheetPr>
    <tabColor theme="0" tint="-0.249977111117893"/>
  </sheetPr>
  <dimension ref="A1:CG247"/>
  <sheetViews>
    <sheetView zoomScale="80" zoomScaleNormal="80" workbookViewId="0">
      <pane xSplit="5" ySplit="7" topLeftCell="BV29" activePane="bottomRight" state="frozen"/>
      <selection activeCell="D124" sqref="D124"/>
      <selection pane="topRight" activeCell="D124" sqref="D124"/>
      <selection pane="bottomLeft" activeCell="D124" sqref="D124"/>
      <selection pane="bottomRight" activeCell="D124" sqref="D124"/>
    </sheetView>
  </sheetViews>
  <sheetFormatPr defaultColWidth="8.6640625" defaultRowHeight="14.4" x14ac:dyDescent="0.3"/>
  <cols>
    <col min="1" max="1" width="42.44140625" style="3" customWidth="1"/>
    <col min="2" max="2" width="8.33203125" style="3" customWidth="1"/>
    <col min="3" max="3" width="27.5546875" style="3" customWidth="1"/>
    <col min="4" max="4" width="41.33203125" style="3" customWidth="1"/>
    <col min="5" max="5" width="29.5546875" style="3" customWidth="1"/>
    <col min="6" max="9" width="11.5546875" style="3" customWidth="1"/>
    <col min="10" max="10" width="11.6640625" style="3" customWidth="1"/>
    <col min="11" max="11" width="11.5546875" style="3" customWidth="1"/>
    <col min="12" max="12" width="13.6640625" style="3" customWidth="1"/>
    <col min="13" max="17" width="11.5546875" style="3" customWidth="1"/>
    <col min="18" max="18" width="15.33203125" style="3" customWidth="1"/>
    <col min="19" max="19" width="13.6640625" style="3" customWidth="1"/>
    <col min="20" max="26" width="11.5546875" style="3" customWidth="1"/>
    <col min="27" max="27" width="13.6640625" style="3" customWidth="1"/>
    <col min="28" max="33" width="11.5546875" style="3" customWidth="1"/>
    <col min="34" max="34" width="13.6640625" style="3" customWidth="1"/>
    <col min="35" max="41" width="11.5546875" style="3" customWidth="1"/>
    <col min="42" max="42" width="13.6640625" style="3" customWidth="1"/>
    <col min="43" max="47" width="11.5546875" style="3" customWidth="1"/>
    <col min="48" max="48" width="13.6640625" style="3" customWidth="1"/>
    <col min="49" max="53" width="11.5546875" style="3" customWidth="1"/>
    <col min="54" max="54" width="13.6640625" style="3" customWidth="1"/>
    <col min="55" max="55" width="11.5546875" style="3" customWidth="1"/>
    <col min="56" max="56" width="13.6640625" style="3" customWidth="1"/>
    <col min="57" max="58" width="11.5546875" style="3" customWidth="1"/>
    <col min="59" max="59" width="13.6640625" style="3" customWidth="1"/>
    <col min="60" max="60" width="11.5546875" style="3" customWidth="1"/>
    <col min="61" max="61" width="13.6640625" style="3" customWidth="1"/>
    <col min="62" max="62" width="11.5546875" style="3" customWidth="1"/>
    <col min="63" max="63" width="13.6640625" style="3" customWidth="1"/>
    <col min="64" max="64" width="11" style="3" customWidth="1"/>
    <col min="65" max="69" width="11.5546875" style="3" customWidth="1"/>
    <col min="70" max="70" width="13.6640625" style="3" customWidth="1"/>
    <col min="71" max="71" width="11" style="3" customWidth="1"/>
    <col min="72" max="72" width="11.5546875" style="3" customWidth="1"/>
    <col min="73" max="73" width="13.6640625" style="3" customWidth="1"/>
    <col min="74" max="74" width="11" style="3" customWidth="1"/>
    <col min="75" max="76" width="11.5546875" style="3" customWidth="1"/>
    <col min="77" max="77" width="13.6640625" style="3" customWidth="1"/>
    <col min="78" max="78" width="11" style="3" customWidth="1"/>
    <col min="79" max="79" width="11.5546875" style="3" customWidth="1"/>
    <col min="80" max="80" width="13.6640625" style="3" customWidth="1"/>
    <col min="81" max="81" width="11" style="3" customWidth="1"/>
    <col min="82" max="82" width="11.5546875" style="3" customWidth="1"/>
    <col min="83" max="83" width="13.6640625" style="3" customWidth="1"/>
    <col min="84" max="84" width="11" style="3" customWidth="1"/>
    <col min="85" max="85" width="13.6640625" style="3" customWidth="1"/>
    <col min="86" max="86" width="0" style="3" hidden="1" customWidth="1"/>
    <col min="87" max="16384" width="8.6640625" style="3"/>
  </cols>
  <sheetData>
    <row r="1" spans="1:85" ht="7.35" customHeight="1" x14ac:dyDescent="0.3"/>
    <row r="2" spans="1:85" ht="20.100000000000001" customHeight="1" x14ac:dyDescent="0.3">
      <c r="F2" s="1016" t="s">
        <v>346</v>
      </c>
      <c r="G2" s="1017"/>
      <c r="H2" s="1017"/>
      <c r="I2" s="1017"/>
      <c r="J2" s="1017"/>
    </row>
    <row r="3" spans="1:85" ht="20.100000000000001" customHeight="1" x14ac:dyDescent="0.3">
      <c r="F3" s="4" t="str">
        <f>CONCATENATE(F5,F6)</f>
        <v>BIODBI</v>
      </c>
      <c r="G3" s="4" t="str">
        <f t="shared" ref="G3:BR3" si="0">CONCATENATE(G5,G6)</f>
        <v>BIODEB</v>
      </c>
      <c r="H3" s="4" t="str">
        <f t="shared" si="0"/>
        <v>BIOEF</v>
      </c>
      <c r="I3" s="4" t="str">
        <f t="shared" si="0"/>
        <v>BIOIOS</v>
      </c>
      <c r="J3" s="4" t="str">
        <f t="shared" si="0"/>
        <v>BIOMCB</v>
      </c>
      <c r="K3" s="4" t="str">
        <f t="shared" si="0"/>
        <v>BIOUNDIST</v>
      </c>
      <c r="L3" s="4" t="str">
        <f t="shared" si="0"/>
        <v>BIOTotal</v>
      </c>
      <c r="M3" s="4" t="str">
        <f t="shared" si="0"/>
        <v>CISECCF</v>
      </c>
      <c r="N3" s="4" t="str">
        <f t="shared" si="0"/>
        <v>CISECNS</v>
      </c>
      <c r="O3" s="4" t="str">
        <f t="shared" si="0"/>
        <v>CISEIIS</v>
      </c>
      <c r="P3" s="4" t="str">
        <f t="shared" si="0"/>
        <v>CISEITR</v>
      </c>
      <c r="Q3" s="4" t="str">
        <f t="shared" si="0"/>
        <v>CISEOAC</v>
      </c>
      <c r="R3" s="4" t="str">
        <f t="shared" si="0"/>
        <v>CISEUNDIST</v>
      </c>
      <c r="S3" s="4" t="str">
        <f t="shared" si="0"/>
        <v>CISETotal</v>
      </c>
      <c r="T3" s="4" t="str">
        <f t="shared" si="0"/>
        <v>ENGCBET</v>
      </c>
      <c r="U3" s="4" t="str">
        <f t="shared" si="0"/>
        <v>ENGCMMI</v>
      </c>
      <c r="V3" s="4" t="str">
        <f t="shared" si="0"/>
        <v>ENGECCS</v>
      </c>
      <c r="W3" s="4" t="str">
        <f t="shared" si="0"/>
        <v>ENGEEC</v>
      </c>
      <c r="X3" s="4" t="str">
        <f t="shared" si="0"/>
        <v>ENGEFMA</v>
      </c>
      <c r="Y3" s="4" t="str">
        <f t="shared" si="0"/>
        <v>ENGIIP</v>
      </c>
      <c r="Z3" s="4" t="str">
        <f t="shared" si="0"/>
        <v>ENGUNDIST</v>
      </c>
      <c r="AA3" s="4" t="str">
        <f t="shared" si="0"/>
        <v>ENGTotal</v>
      </c>
      <c r="AB3" s="4" t="str">
        <f t="shared" si="0"/>
        <v>GEOAGS</v>
      </c>
      <c r="AC3" s="4" t="str">
        <f t="shared" si="0"/>
        <v>GEOEAR</v>
      </c>
      <c r="AD3" s="4" t="str">
        <f t="shared" si="0"/>
        <v>GEOOCE</v>
      </c>
      <c r="AE3" s="4" t="str">
        <f t="shared" si="0"/>
        <v>GEO/OPPPLR</v>
      </c>
      <c r="AF3" s="4" t="str">
        <f t="shared" si="0"/>
        <v>GEORISE</v>
      </c>
      <c r="AG3" s="4" t="str">
        <f t="shared" si="0"/>
        <v>GEOUNDIST</v>
      </c>
      <c r="AH3" s="4" t="str">
        <f t="shared" si="0"/>
        <v>GEOTotal</v>
      </c>
      <c r="AI3" s="4" t="str">
        <f t="shared" si="0"/>
        <v>MPSAST</v>
      </c>
      <c r="AJ3" s="4" t="str">
        <f t="shared" si="0"/>
        <v>MPSCHE</v>
      </c>
      <c r="AK3" s="4" t="str">
        <f t="shared" si="0"/>
        <v>MPSDMR</v>
      </c>
      <c r="AL3" s="4" t="str">
        <f t="shared" si="0"/>
        <v>MPSDMS</v>
      </c>
      <c r="AM3" s="4" t="str">
        <f t="shared" si="0"/>
        <v>MPSOMA</v>
      </c>
      <c r="AN3" s="4" t="str">
        <f t="shared" si="0"/>
        <v>MPSPHY</v>
      </c>
      <c r="AO3" s="4" t="str">
        <f t="shared" si="0"/>
        <v>MPSUNDIST</v>
      </c>
      <c r="AP3" s="4" t="str">
        <f t="shared" si="0"/>
        <v>MPSTotal</v>
      </c>
      <c r="AQ3" s="4" t="str">
        <f t="shared" si="0"/>
        <v>SBEBCS</v>
      </c>
      <c r="AR3" s="4" t="str">
        <f t="shared" si="0"/>
        <v>SBENCSES</v>
      </c>
      <c r="AS3" s="4" t="str">
        <f t="shared" si="0"/>
        <v>SBEOMA</v>
      </c>
      <c r="AT3" s="4" t="str">
        <f t="shared" si="0"/>
        <v>SBESES</v>
      </c>
      <c r="AU3" s="4" t="str">
        <f t="shared" si="0"/>
        <v>SBEUNDIST</v>
      </c>
      <c r="AV3" s="4" t="str">
        <f t="shared" si="0"/>
        <v>SBETotal</v>
      </c>
      <c r="AW3" s="4" t="str">
        <f t="shared" si="0"/>
        <v>TIPITE</v>
      </c>
      <c r="AX3" s="4" t="str">
        <f t="shared" si="0"/>
        <v>TIPSPO</v>
      </c>
      <c r="AY3" s="4" t="str">
        <f t="shared" si="0"/>
        <v>TIPTF</v>
      </c>
      <c r="AZ3" s="4" t="str">
        <f t="shared" si="0"/>
        <v>TIPTI</v>
      </c>
      <c r="BA3" s="4" t="str">
        <f t="shared" si="0"/>
        <v>TIPUNDIST</v>
      </c>
      <c r="BB3" s="4" t="str">
        <f t="shared" si="0"/>
        <v>TIPTotal</v>
      </c>
      <c r="BC3" s="4" t="str">
        <f t="shared" si="0"/>
        <v>OISEOISE</v>
      </c>
      <c r="BD3" s="4" t="str">
        <f t="shared" si="0"/>
        <v>OISETotal</v>
      </c>
      <c r="BE3" s="4" t="str">
        <f t="shared" si="0"/>
        <v>OIAEPSCoR</v>
      </c>
      <c r="BF3" s="4" t="str">
        <f t="shared" si="0"/>
        <v>OIAIA</v>
      </c>
      <c r="BG3" s="4" t="str">
        <f t="shared" si="0"/>
        <v>OIATotal</v>
      </c>
      <c r="BH3" s="4" t="str">
        <f t="shared" si="0"/>
        <v>USARCUSARC</v>
      </c>
      <c r="BI3" s="4" t="str">
        <f t="shared" si="0"/>
        <v>USARCTotal</v>
      </c>
      <c r="BJ3" s="4" t="str">
        <f t="shared" si="0"/>
        <v>USALSUSALS</v>
      </c>
      <c r="BK3" s="4" t="str">
        <f t="shared" si="0"/>
        <v>USALSTotal</v>
      </c>
      <c r="BL3" s="4" t="str">
        <f t="shared" si="0"/>
        <v>Total</v>
      </c>
      <c r="BM3" s="4" t="str">
        <f t="shared" si="0"/>
        <v>EDUDGE</v>
      </c>
      <c r="BN3" s="4" t="str">
        <f t="shared" si="0"/>
        <v>EDUDRL</v>
      </c>
      <c r="BO3" s="4" t="str">
        <f t="shared" si="0"/>
        <v>EDUDUE</v>
      </c>
      <c r="BP3" s="4" t="str">
        <f t="shared" si="0"/>
        <v>EDUEES</v>
      </c>
      <c r="BQ3" s="4" t="str">
        <f t="shared" si="0"/>
        <v>EDUUNDIST</v>
      </c>
      <c r="BR3" s="4" t="str">
        <f t="shared" si="0"/>
        <v>EDUTotal</v>
      </c>
      <c r="BS3" s="4" t="str">
        <f t="shared" ref="BS3:CG3" si="1">CONCATENATE(BS5,BS6)</f>
        <v>Total</v>
      </c>
      <c r="BT3" s="4" t="str">
        <f t="shared" si="1"/>
        <v>MREFCMREFC</v>
      </c>
      <c r="BU3" s="4" t="str">
        <f t="shared" si="1"/>
        <v>MREFCTotal</v>
      </c>
      <c r="BV3" s="4" t="str">
        <f t="shared" si="1"/>
        <v>Total</v>
      </c>
      <c r="BW3" s="4" t="str">
        <f t="shared" si="1"/>
        <v>AOAMGAC</v>
      </c>
      <c r="BX3" s="4" t="str">
        <f t="shared" si="1"/>
        <v>AOAMROD</v>
      </c>
      <c r="BY3" s="4" t="str">
        <f t="shared" si="1"/>
        <v>AOAMTotal</v>
      </c>
      <c r="BZ3" s="4" t="str">
        <f t="shared" si="1"/>
        <v>Total</v>
      </c>
      <c r="CA3" s="4" t="str">
        <f t="shared" si="1"/>
        <v>OIGGAC</v>
      </c>
      <c r="CB3" s="4" t="str">
        <f t="shared" si="1"/>
        <v>OIGTotal</v>
      </c>
      <c r="CC3" s="4" t="str">
        <f t="shared" si="1"/>
        <v>Total</v>
      </c>
      <c r="CD3" s="4" t="str">
        <f t="shared" si="1"/>
        <v>NSBNSB</v>
      </c>
      <c r="CE3" s="4" t="str">
        <f t="shared" si="1"/>
        <v>NSBTotal</v>
      </c>
      <c r="CF3" s="4" t="str">
        <f t="shared" si="1"/>
        <v>Total</v>
      </c>
      <c r="CG3" s="4" t="str">
        <f t="shared" si="1"/>
        <v>TotalTotal</v>
      </c>
    </row>
    <row r="4" spans="1:85" ht="20.100000000000001" customHeight="1" x14ac:dyDescent="0.3">
      <c r="A4" s="5" t="s">
        <v>28</v>
      </c>
      <c r="B4" s="5" t="s">
        <v>28</v>
      </c>
      <c r="C4" s="5" t="s">
        <v>28</v>
      </c>
      <c r="D4" s="5" t="s">
        <v>28</v>
      </c>
      <c r="E4" s="5" t="s">
        <v>28</v>
      </c>
      <c r="F4" s="1012" t="s">
        <v>29</v>
      </c>
      <c r="G4" s="1013"/>
      <c r="H4" s="1013"/>
      <c r="I4" s="1013"/>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c r="AH4" s="1013"/>
      <c r="AI4" s="1013"/>
      <c r="AJ4" s="1013"/>
      <c r="AK4" s="1013"/>
      <c r="AL4" s="1013"/>
      <c r="AM4" s="1013"/>
      <c r="AN4" s="1013"/>
      <c r="AO4" s="1013"/>
      <c r="AP4" s="1013"/>
      <c r="AQ4" s="1013"/>
      <c r="AR4" s="1013"/>
      <c r="AS4" s="1013"/>
      <c r="AT4" s="1013"/>
      <c r="AU4" s="1013"/>
      <c r="AV4" s="1013"/>
      <c r="AW4" s="1013"/>
      <c r="AX4" s="1013"/>
      <c r="AY4" s="1013"/>
      <c r="AZ4" s="1013"/>
      <c r="BA4" s="1013"/>
      <c r="BB4" s="1013"/>
      <c r="BC4" s="1013"/>
      <c r="BD4" s="1013"/>
      <c r="BE4" s="1013"/>
      <c r="BF4" s="1013"/>
      <c r="BG4" s="1013"/>
      <c r="BH4" s="1013"/>
      <c r="BI4" s="1013"/>
      <c r="BJ4" s="1013"/>
      <c r="BK4" s="1013"/>
      <c r="BL4" s="1014"/>
      <c r="BM4" s="1012" t="s">
        <v>30</v>
      </c>
      <c r="BN4" s="1013"/>
      <c r="BO4" s="1013"/>
      <c r="BP4" s="1013"/>
      <c r="BQ4" s="1013"/>
      <c r="BR4" s="1013"/>
      <c r="BS4" s="1014"/>
      <c r="BT4" s="1012" t="s">
        <v>31</v>
      </c>
      <c r="BU4" s="1013"/>
      <c r="BV4" s="1014"/>
      <c r="BW4" s="1012" t="s">
        <v>32</v>
      </c>
      <c r="BX4" s="1013"/>
      <c r="BY4" s="1013"/>
      <c r="BZ4" s="1014"/>
      <c r="CA4" s="1012" t="s">
        <v>33</v>
      </c>
      <c r="CB4" s="1013"/>
      <c r="CC4" s="1014"/>
      <c r="CD4" s="1012" t="s">
        <v>34</v>
      </c>
      <c r="CE4" s="1013"/>
      <c r="CF4" s="1014"/>
      <c r="CG4" s="5" t="s">
        <v>24</v>
      </c>
    </row>
    <row r="5" spans="1:85" ht="15.6" x14ac:dyDescent="0.3">
      <c r="A5" s="5" t="s">
        <v>28</v>
      </c>
      <c r="B5" s="5" t="s">
        <v>28</v>
      </c>
      <c r="C5" s="5" t="s">
        <v>28</v>
      </c>
      <c r="D5" s="5" t="s">
        <v>28</v>
      </c>
      <c r="E5" s="5" t="s">
        <v>28</v>
      </c>
      <c r="F5" s="5" t="s">
        <v>0</v>
      </c>
      <c r="G5" s="5" t="s">
        <v>0</v>
      </c>
      <c r="H5" s="5" t="s">
        <v>0</v>
      </c>
      <c r="I5" s="5" t="s">
        <v>0</v>
      </c>
      <c r="J5" s="5" t="s">
        <v>0</v>
      </c>
      <c r="K5" s="5" t="s">
        <v>0</v>
      </c>
      <c r="L5" s="5" t="s">
        <v>0</v>
      </c>
      <c r="M5" s="5" t="s">
        <v>1</v>
      </c>
      <c r="N5" s="5" t="s">
        <v>1</v>
      </c>
      <c r="O5" s="5" t="s">
        <v>1</v>
      </c>
      <c r="P5" s="5" t="s">
        <v>1</v>
      </c>
      <c r="Q5" s="5" t="s">
        <v>1</v>
      </c>
      <c r="R5" s="5" t="s">
        <v>1</v>
      </c>
      <c r="S5" s="5" t="s">
        <v>1</v>
      </c>
      <c r="T5" s="5" t="s">
        <v>2</v>
      </c>
      <c r="U5" s="5" t="s">
        <v>2</v>
      </c>
      <c r="V5" s="5" t="s">
        <v>2</v>
      </c>
      <c r="W5" s="5" t="s">
        <v>2</v>
      </c>
      <c r="X5" s="5" t="s">
        <v>2</v>
      </c>
      <c r="Y5" s="5" t="s">
        <v>2</v>
      </c>
      <c r="Z5" s="5" t="s">
        <v>2</v>
      </c>
      <c r="AA5" s="5" t="s">
        <v>2</v>
      </c>
      <c r="AB5" s="5" t="s">
        <v>3</v>
      </c>
      <c r="AC5" s="5" t="s">
        <v>3</v>
      </c>
      <c r="AD5" s="5" t="s">
        <v>3</v>
      </c>
      <c r="AE5" s="5" t="s">
        <v>35</v>
      </c>
      <c r="AF5" s="5" t="s">
        <v>3</v>
      </c>
      <c r="AG5" s="5" t="s">
        <v>3</v>
      </c>
      <c r="AH5" s="5" t="s">
        <v>3</v>
      </c>
      <c r="AI5" s="5" t="s">
        <v>7</v>
      </c>
      <c r="AJ5" s="5" t="s">
        <v>7</v>
      </c>
      <c r="AK5" s="5" t="s">
        <v>7</v>
      </c>
      <c r="AL5" s="5" t="s">
        <v>7</v>
      </c>
      <c r="AM5" s="5" t="s">
        <v>7</v>
      </c>
      <c r="AN5" s="5" t="s">
        <v>7</v>
      </c>
      <c r="AO5" s="5" t="s">
        <v>7</v>
      </c>
      <c r="AP5" s="5" t="s">
        <v>7</v>
      </c>
      <c r="AQ5" s="5" t="s">
        <v>8</v>
      </c>
      <c r="AR5" s="5" t="s">
        <v>8</v>
      </c>
      <c r="AS5" s="5" t="s">
        <v>8</v>
      </c>
      <c r="AT5" s="5" t="s">
        <v>8</v>
      </c>
      <c r="AU5" s="5" t="s">
        <v>8</v>
      </c>
      <c r="AV5" s="5" t="s">
        <v>8</v>
      </c>
      <c r="AW5" s="5" t="s">
        <v>9</v>
      </c>
      <c r="AX5" s="5" t="s">
        <v>9</v>
      </c>
      <c r="AY5" s="5" t="s">
        <v>9</v>
      </c>
      <c r="AZ5" s="5" t="s">
        <v>9</v>
      </c>
      <c r="BA5" s="5" t="s">
        <v>9</v>
      </c>
      <c r="BB5" s="5" t="s">
        <v>9</v>
      </c>
      <c r="BC5" s="5" t="s">
        <v>12</v>
      </c>
      <c r="BD5" s="5" t="s">
        <v>12</v>
      </c>
      <c r="BE5" s="5" t="s">
        <v>36</v>
      </c>
      <c r="BF5" s="5" t="s">
        <v>36</v>
      </c>
      <c r="BG5" s="5" t="s">
        <v>36</v>
      </c>
      <c r="BH5" s="5" t="s">
        <v>37</v>
      </c>
      <c r="BI5" s="5" t="s">
        <v>37</v>
      </c>
      <c r="BJ5" s="5" t="s">
        <v>38</v>
      </c>
      <c r="BK5" s="5" t="s">
        <v>38</v>
      </c>
      <c r="BL5" s="1012" t="s">
        <v>24</v>
      </c>
      <c r="BM5" s="5" t="s">
        <v>30</v>
      </c>
      <c r="BN5" s="5" t="s">
        <v>30</v>
      </c>
      <c r="BO5" s="5" t="s">
        <v>30</v>
      </c>
      <c r="BP5" s="5" t="s">
        <v>30</v>
      </c>
      <c r="BQ5" s="5" t="s">
        <v>30</v>
      </c>
      <c r="BR5" s="5" t="s">
        <v>30</v>
      </c>
      <c r="BS5" s="1012" t="s">
        <v>24</v>
      </c>
      <c r="BT5" s="5" t="s">
        <v>31</v>
      </c>
      <c r="BU5" s="5" t="s">
        <v>31</v>
      </c>
      <c r="BV5" s="1012" t="s">
        <v>24</v>
      </c>
      <c r="BW5" s="5" t="s">
        <v>32</v>
      </c>
      <c r="BX5" s="5" t="s">
        <v>32</v>
      </c>
      <c r="BY5" s="5" t="s">
        <v>32</v>
      </c>
      <c r="BZ5" s="1012" t="s">
        <v>24</v>
      </c>
      <c r="CA5" s="5" t="s">
        <v>33</v>
      </c>
      <c r="CB5" s="5" t="s">
        <v>33</v>
      </c>
      <c r="CC5" s="1012" t="s">
        <v>24</v>
      </c>
      <c r="CD5" s="5" t="s">
        <v>34</v>
      </c>
      <c r="CE5" s="5" t="s">
        <v>34</v>
      </c>
      <c r="CF5" s="1012" t="s">
        <v>24</v>
      </c>
      <c r="CG5" s="5" t="s">
        <v>24</v>
      </c>
    </row>
    <row r="6" spans="1:85" ht="15.6" customHeight="1" x14ac:dyDescent="0.3">
      <c r="A6" s="5" t="s">
        <v>28</v>
      </c>
      <c r="B6" s="5" t="s">
        <v>28</v>
      </c>
      <c r="C6" s="5" t="s">
        <v>28</v>
      </c>
      <c r="D6" s="5" t="s">
        <v>28</v>
      </c>
      <c r="E6" s="5" t="s">
        <v>28</v>
      </c>
      <c r="F6" s="5" t="s">
        <v>39</v>
      </c>
      <c r="G6" s="5" t="s">
        <v>40</v>
      </c>
      <c r="H6" s="5" t="s">
        <v>41</v>
      </c>
      <c r="I6" s="5" t="s">
        <v>42</v>
      </c>
      <c r="J6" s="5" t="s">
        <v>43</v>
      </c>
      <c r="K6" s="5" t="s">
        <v>44</v>
      </c>
      <c r="L6" s="5" t="s">
        <v>24</v>
      </c>
      <c r="M6" s="5" t="s">
        <v>45</v>
      </c>
      <c r="N6" s="5" t="s">
        <v>46</v>
      </c>
      <c r="O6" s="5" t="s">
        <v>47</v>
      </c>
      <c r="P6" s="5" t="s">
        <v>48</v>
      </c>
      <c r="Q6" s="5" t="s">
        <v>49</v>
      </c>
      <c r="R6" s="5" t="s">
        <v>44</v>
      </c>
      <c r="S6" s="5" t="s">
        <v>24</v>
      </c>
      <c r="T6" s="5" t="s">
        <v>50</v>
      </c>
      <c r="U6" s="5" t="s">
        <v>51</v>
      </c>
      <c r="V6" s="5" t="s">
        <v>52</v>
      </c>
      <c r="W6" s="5" t="s">
        <v>53</v>
      </c>
      <c r="X6" s="5" t="s">
        <v>54</v>
      </c>
      <c r="Y6" s="5" t="s">
        <v>55</v>
      </c>
      <c r="Z6" s="5" t="s">
        <v>44</v>
      </c>
      <c r="AA6" s="5" t="s">
        <v>24</v>
      </c>
      <c r="AB6" s="5" t="s">
        <v>56</v>
      </c>
      <c r="AC6" s="5" t="s">
        <v>57</v>
      </c>
      <c r="AD6" s="5" t="s">
        <v>58</v>
      </c>
      <c r="AE6" s="5" t="s">
        <v>59</v>
      </c>
      <c r="AF6" s="5" t="s">
        <v>60</v>
      </c>
      <c r="AG6" s="5" t="s">
        <v>44</v>
      </c>
      <c r="AH6" s="5" t="s">
        <v>24</v>
      </c>
      <c r="AI6" s="5" t="s">
        <v>61</v>
      </c>
      <c r="AJ6" s="5" t="s">
        <v>62</v>
      </c>
      <c r="AK6" s="5" t="s">
        <v>63</v>
      </c>
      <c r="AL6" s="5" t="s">
        <v>64</v>
      </c>
      <c r="AM6" s="5" t="s">
        <v>65</v>
      </c>
      <c r="AN6" s="5" t="s">
        <v>66</v>
      </c>
      <c r="AO6" s="5" t="s">
        <v>44</v>
      </c>
      <c r="AP6" s="5" t="s">
        <v>24</v>
      </c>
      <c r="AQ6" s="5" t="s">
        <v>67</v>
      </c>
      <c r="AR6" s="5" t="s">
        <v>68</v>
      </c>
      <c r="AS6" s="5" t="s">
        <v>65</v>
      </c>
      <c r="AT6" s="5" t="s">
        <v>69</v>
      </c>
      <c r="AU6" s="5" t="s">
        <v>44</v>
      </c>
      <c r="AV6" s="5" t="s">
        <v>24</v>
      </c>
      <c r="AW6" s="5" t="s">
        <v>70</v>
      </c>
      <c r="AX6" s="5" t="s">
        <v>71</v>
      </c>
      <c r="AY6" s="5" t="s">
        <v>72</v>
      </c>
      <c r="AZ6" s="5" t="s">
        <v>73</v>
      </c>
      <c r="BA6" s="5" t="s">
        <v>44</v>
      </c>
      <c r="BB6" s="5" t="s">
        <v>24</v>
      </c>
      <c r="BC6" s="5" t="s">
        <v>12</v>
      </c>
      <c r="BD6" s="5" t="s">
        <v>24</v>
      </c>
      <c r="BE6" s="5" t="s">
        <v>14</v>
      </c>
      <c r="BF6" s="5" t="s">
        <v>13</v>
      </c>
      <c r="BG6" s="5" t="s">
        <v>24</v>
      </c>
      <c r="BH6" s="5" t="s">
        <v>37</v>
      </c>
      <c r="BI6" s="5" t="s">
        <v>24</v>
      </c>
      <c r="BJ6" s="5" t="s">
        <v>38</v>
      </c>
      <c r="BK6" s="5" t="s">
        <v>24</v>
      </c>
      <c r="BL6" s="1015"/>
      <c r="BM6" s="5" t="s">
        <v>74</v>
      </c>
      <c r="BN6" s="5" t="s">
        <v>75</v>
      </c>
      <c r="BO6" s="5" t="s">
        <v>76</v>
      </c>
      <c r="BP6" s="5" t="s">
        <v>77</v>
      </c>
      <c r="BQ6" s="5" t="s">
        <v>44</v>
      </c>
      <c r="BR6" s="5" t="s">
        <v>24</v>
      </c>
      <c r="BS6" s="1015"/>
      <c r="BT6" s="5" t="s">
        <v>31</v>
      </c>
      <c r="BU6" s="5" t="s">
        <v>24</v>
      </c>
      <c r="BV6" s="1015"/>
      <c r="BW6" s="5" t="s">
        <v>78</v>
      </c>
      <c r="BX6" s="5" t="s">
        <v>79</v>
      </c>
      <c r="BY6" s="5" t="s">
        <v>24</v>
      </c>
      <c r="BZ6" s="1015"/>
      <c r="CA6" s="5" t="s">
        <v>78</v>
      </c>
      <c r="CB6" s="5" t="s">
        <v>24</v>
      </c>
      <c r="CC6" s="1015"/>
      <c r="CD6" s="5" t="s">
        <v>34</v>
      </c>
      <c r="CE6" s="5" t="s">
        <v>24</v>
      </c>
      <c r="CF6" s="1015"/>
      <c r="CG6" s="5" t="s">
        <v>24</v>
      </c>
    </row>
    <row r="7" spans="1:85" x14ac:dyDescent="0.3">
      <c r="B7" s="6" t="s">
        <v>28</v>
      </c>
      <c r="C7" s="6" t="s">
        <v>28</v>
      </c>
      <c r="D7" s="6" t="s">
        <v>28</v>
      </c>
      <c r="E7" s="6" t="s">
        <v>28</v>
      </c>
      <c r="F7" s="6" t="s">
        <v>28</v>
      </c>
      <c r="G7" s="6" t="s">
        <v>28</v>
      </c>
      <c r="H7" s="6" t="s">
        <v>28</v>
      </c>
      <c r="I7" s="6" t="s">
        <v>28</v>
      </c>
      <c r="J7" s="6" t="s">
        <v>28</v>
      </c>
      <c r="K7" s="6" t="s">
        <v>28</v>
      </c>
      <c r="L7" s="6" t="s">
        <v>28</v>
      </c>
      <c r="M7" s="6" t="s">
        <v>28</v>
      </c>
      <c r="N7" s="6" t="s">
        <v>28</v>
      </c>
      <c r="O7" s="6" t="s">
        <v>28</v>
      </c>
      <c r="P7" s="6" t="s">
        <v>28</v>
      </c>
      <c r="Q7" s="6" t="s">
        <v>28</v>
      </c>
      <c r="R7" s="6" t="s">
        <v>28</v>
      </c>
      <c r="S7" s="6" t="s">
        <v>28</v>
      </c>
      <c r="T7" s="6" t="s">
        <v>28</v>
      </c>
      <c r="U7" s="6" t="s">
        <v>28</v>
      </c>
      <c r="V7" s="6" t="s">
        <v>28</v>
      </c>
      <c r="W7" s="6" t="s">
        <v>28</v>
      </c>
      <c r="X7" s="6" t="s">
        <v>28</v>
      </c>
      <c r="Y7" s="6" t="s">
        <v>28</v>
      </c>
      <c r="Z7" s="6" t="s">
        <v>28</v>
      </c>
      <c r="AA7" s="6" t="s">
        <v>28</v>
      </c>
      <c r="AB7" s="6" t="s">
        <v>28</v>
      </c>
      <c r="AC7" s="6" t="s">
        <v>28</v>
      </c>
      <c r="AD7" s="6" t="s">
        <v>28</v>
      </c>
      <c r="AE7" s="6" t="s">
        <v>28</v>
      </c>
      <c r="AF7" s="6" t="s">
        <v>28</v>
      </c>
      <c r="AG7" s="6" t="s">
        <v>28</v>
      </c>
      <c r="AH7" s="6" t="s">
        <v>28</v>
      </c>
      <c r="AI7" s="6" t="s">
        <v>28</v>
      </c>
      <c r="AJ7" s="6" t="s">
        <v>28</v>
      </c>
      <c r="AK7" s="6" t="s">
        <v>28</v>
      </c>
      <c r="AL7" s="6" t="s">
        <v>28</v>
      </c>
      <c r="AM7" s="6" t="s">
        <v>28</v>
      </c>
      <c r="AN7" s="6" t="s">
        <v>28</v>
      </c>
      <c r="AO7" s="6" t="s">
        <v>28</v>
      </c>
      <c r="AP7" s="6" t="s">
        <v>28</v>
      </c>
      <c r="AQ7" s="6" t="s">
        <v>28</v>
      </c>
      <c r="AR7" s="6" t="s">
        <v>28</v>
      </c>
      <c r="AS7" s="6" t="s">
        <v>28</v>
      </c>
      <c r="AT7" s="6" t="s">
        <v>28</v>
      </c>
      <c r="AU7" s="6" t="s">
        <v>28</v>
      </c>
      <c r="AV7" s="6" t="s">
        <v>28</v>
      </c>
      <c r="AW7" s="6" t="s">
        <v>28</v>
      </c>
      <c r="AX7" s="6" t="s">
        <v>28</v>
      </c>
      <c r="AY7" s="6" t="s">
        <v>28</v>
      </c>
      <c r="AZ7" s="6" t="s">
        <v>28</v>
      </c>
      <c r="BA7" s="6" t="s">
        <v>28</v>
      </c>
      <c r="BB7" s="6" t="s">
        <v>28</v>
      </c>
      <c r="BC7" s="6" t="s">
        <v>28</v>
      </c>
      <c r="BD7" s="6" t="s">
        <v>28</v>
      </c>
      <c r="BE7" s="6" t="s">
        <v>28</v>
      </c>
      <c r="BF7" s="6" t="s">
        <v>28</v>
      </c>
      <c r="BG7" s="6" t="s">
        <v>28</v>
      </c>
      <c r="BH7" s="6" t="s">
        <v>28</v>
      </c>
      <c r="BI7" s="6" t="s">
        <v>28</v>
      </c>
      <c r="BJ7" s="6" t="s">
        <v>28</v>
      </c>
      <c r="BK7" s="6" t="s">
        <v>28</v>
      </c>
      <c r="BL7" s="6" t="s">
        <v>28</v>
      </c>
      <c r="BM7" s="6" t="s">
        <v>28</v>
      </c>
      <c r="BN7" s="6" t="s">
        <v>28</v>
      </c>
      <c r="BO7" s="6" t="s">
        <v>28</v>
      </c>
      <c r="BP7" s="6" t="s">
        <v>28</v>
      </c>
      <c r="BQ7" s="6" t="s">
        <v>28</v>
      </c>
      <c r="BR7" s="6" t="s">
        <v>28</v>
      </c>
      <c r="BS7" s="6" t="s">
        <v>28</v>
      </c>
      <c r="BT7" s="6" t="s">
        <v>28</v>
      </c>
      <c r="BU7" s="6" t="s">
        <v>28</v>
      </c>
      <c r="BV7" s="6" t="s">
        <v>28</v>
      </c>
      <c r="BW7" s="6" t="s">
        <v>28</v>
      </c>
      <c r="BX7" s="6" t="s">
        <v>28</v>
      </c>
      <c r="BY7" s="6" t="s">
        <v>28</v>
      </c>
      <c r="BZ7" s="6" t="s">
        <v>28</v>
      </c>
      <c r="CA7" s="6" t="s">
        <v>28</v>
      </c>
      <c r="CB7" s="6" t="s">
        <v>28</v>
      </c>
      <c r="CC7" s="6" t="s">
        <v>28</v>
      </c>
      <c r="CD7" s="6" t="s">
        <v>28</v>
      </c>
      <c r="CE7" s="6" t="s">
        <v>28</v>
      </c>
      <c r="CF7" s="6" t="s">
        <v>28</v>
      </c>
      <c r="CG7" s="7" t="s">
        <v>28</v>
      </c>
    </row>
    <row r="8" spans="1:85" x14ac:dyDescent="0.3">
      <c r="A8" s="3" t="str">
        <f>CONCATENATE(B8,C8,D8,E8)</f>
        <v>ADDTotalTotalTotal</v>
      </c>
      <c r="B8" s="6" t="s">
        <v>81</v>
      </c>
      <c r="C8" s="6" t="s">
        <v>24</v>
      </c>
      <c r="D8" s="6" t="s">
        <v>24</v>
      </c>
      <c r="E8" s="6" t="s">
        <v>24</v>
      </c>
      <c r="F8" s="8">
        <v>221.28</v>
      </c>
      <c r="G8" s="8">
        <v>186.15</v>
      </c>
      <c r="H8" s="8">
        <v>185.52</v>
      </c>
      <c r="I8" s="8">
        <v>214.81</v>
      </c>
      <c r="J8" s="8">
        <v>162.47</v>
      </c>
      <c r="K8" s="6"/>
      <c r="L8" s="8">
        <v>970.23</v>
      </c>
      <c r="M8" s="8">
        <v>218.57</v>
      </c>
      <c r="N8" s="8">
        <v>266.06</v>
      </c>
      <c r="O8" s="8">
        <v>248.16</v>
      </c>
      <c r="P8" s="8">
        <v>165.74</v>
      </c>
      <c r="Q8" s="8">
        <v>252.25</v>
      </c>
      <c r="R8" s="8">
        <v>0</v>
      </c>
      <c r="S8" s="8">
        <v>1150.78</v>
      </c>
      <c r="T8" s="8">
        <v>226.17</v>
      </c>
      <c r="U8" s="8">
        <v>265.86</v>
      </c>
      <c r="V8" s="8">
        <v>137.19999999999999</v>
      </c>
      <c r="W8" s="8">
        <v>144.46</v>
      </c>
      <c r="X8" s="8">
        <v>166.59</v>
      </c>
      <c r="Y8" s="8">
        <v>0</v>
      </c>
      <c r="Z8" s="8">
        <v>0</v>
      </c>
      <c r="AA8" s="8">
        <v>940.28</v>
      </c>
      <c r="AB8" s="8">
        <v>301.37</v>
      </c>
      <c r="AC8" s="8">
        <v>206.36</v>
      </c>
      <c r="AD8" s="8">
        <v>431.78</v>
      </c>
      <c r="AE8" s="8">
        <v>457.1</v>
      </c>
      <c r="AF8" s="8">
        <v>299.54000000000002</v>
      </c>
      <c r="AG8" s="8">
        <v>0</v>
      </c>
      <c r="AH8" s="8">
        <v>1696.15</v>
      </c>
      <c r="AI8" s="8">
        <v>294.05</v>
      </c>
      <c r="AJ8" s="8">
        <v>284.14</v>
      </c>
      <c r="AK8" s="8">
        <v>349.92</v>
      </c>
      <c r="AL8" s="8">
        <v>259.47000000000003</v>
      </c>
      <c r="AM8" s="8">
        <v>242.67699999999999</v>
      </c>
      <c r="AN8" s="8">
        <v>316.58999999999997</v>
      </c>
      <c r="AO8" s="8">
        <v>0</v>
      </c>
      <c r="AP8" s="8">
        <v>1746.847</v>
      </c>
      <c r="AQ8" s="8">
        <v>113.14</v>
      </c>
      <c r="AR8" s="8">
        <v>74.89</v>
      </c>
      <c r="AS8" s="8">
        <v>27.62</v>
      </c>
      <c r="AT8" s="8">
        <v>114.56</v>
      </c>
      <c r="AU8" s="8">
        <v>0</v>
      </c>
      <c r="AV8" s="8">
        <v>330.21</v>
      </c>
      <c r="AW8" s="8">
        <v>265</v>
      </c>
      <c r="AX8" s="8">
        <v>50.87</v>
      </c>
      <c r="AY8" s="8">
        <v>145</v>
      </c>
      <c r="AZ8" s="8">
        <v>419</v>
      </c>
      <c r="BA8" s="6"/>
      <c r="BB8" s="8">
        <v>879.87</v>
      </c>
      <c r="BC8" s="8">
        <v>74.040000000000006</v>
      </c>
      <c r="BD8" s="8">
        <v>74.040000000000006</v>
      </c>
      <c r="BE8" s="8">
        <v>247.25</v>
      </c>
      <c r="BF8" s="8">
        <v>298.61</v>
      </c>
      <c r="BG8" s="8">
        <v>545.86</v>
      </c>
      <c r="BH8" s="8">
        <v>1.72</v>
      </c>
      <c r="BI8" s="8">
        <v>1.72</v>
      </c>
      <c r="BJ8" s="8">
        <v>90</v>
      </c>
      <c r="BK8" s="8">
        <v>90</v>
      </c>
      <c r="BL8" s="8">
        <v>8425.9869999999992</v>
      </c>
      <c r="BM8" s="8">
        <v>519.12</v>
      </c>
      <c r="BN8" s="8">
        <v>242.58</v>
      </c>
      <c r="BO8" s="8">
        <v>291.60000000000002</v>
      </c>
      <c r="BP8" s="8">
        <v>323.88</v>
      </c>
      <c r="BQ8" s="8">
        <v>0</v>
      </c>
      <c r="BR8" s="8">
        <v>1377.18</v>
      </c>
      <c r="BS8" s="8">
        <v>1377.18</v>
      </c>
      <c r="BT8" s="8">
        <v>187.23</v>
      </c>
      <c r="BU8" s="8">
        <v>187.23</v>
      </c>
      <c r="BV8" s="8">
        <v>187.23</v>
      </c>
      <c r="BW8" s="8">
        <v>473.2</v>
      </c>
      <c r="BX8" s="6"/>
      <c r="BY8" s="8">
        <v>473.2</v>
      </c>
      <c r="BZ8" s="8">
        <v>473.2</v>
      </c>
      <c r="CA8" s="8">
        <v>23.393000000000001</v>
      </c>
      <c r="CB8" s="8">
        <v>23.393000000000001</v>
      </c>
      <c r="CC8" s="8">
        <v>23.393000000000001</v>
      </c>
      <c r="CD8" s="8">
        <v>5.09</v>
      </c>
      <c r="CE8" s="8">
        <v>5.09</v>
      </c>
      <c r="CF8" s="8">
        <v>5.09</v>
      </c>
      <c r="CG8" s="9">
        <v>10492.08</v>
      </c>
    </row>
    <row r="9" spans="1:85" x14ac:dyDescent="0.3">
      <c r="A9" s="3" t="str">
        <f t="shared" ref="A9:A72" si="2">CONCATENATE(B9,C9,D9,E9)</f>
        <v>ADDDiscoveryTotalTotal</v>
      </c>
      <c r="B9" s="6" t="s">
        <v>81</v>
      </c>
      <c r="C9" s="6" t="s">
        <v>82</v>
      </c>
      <c r="D9" s="6" t="s">
        <v>24</v>
      </c>
      <c r="E9" s="6" t="s">
        <v>24</v>
      </c>
      <c r="F9" s="8">
        <v>73</v>
      </c>
      <c r="G9" s="8">
        <v>179.78</v>
      </c>
      <c r="H9" s="8">
        <v>115.23</v>
      </c>
      <c r="I9" s="8">
        <v>194.54</v>
      </c>
      <c r="J9" s="8">
        <v>156.65</v>
      </c>
      <c r="K9" s="6"/>
      <c r="L9" s="8">
        <v>719.2</v>
      </c>
      <c r="M9" s="8">
        <v>198.33</v>
      </c>
      <c r="N9" s="8">
        <v>218.93</v>
      </c>
      <c r="O9" s="8">
        <v>225.88</v>
      </c>
      <c r="P9" s="8">
        <v>147.16</v>
      </c>
      <c r="Q9" s="8">
        <v>89.92</v>
      </c>
      <c r="R9" s="8">
        <v>0</v>
      </c>
      <c r="S9" s="8">
        <v>880.22</v>
      </c>
      <c r="T9" s="8">
        <v>215.53</v>
      </c>
      <c r="U9" s="8">
        <v>239.59</v>
      </c>
      <c r="V9" s="8">
        <v>126.16</v>
      </c>
      <c r="W9" s="8">
        <v>121.07</v>
      </c>
      <c r="X9" s="8">
        <v>163.92</v>
      </c>
      <c r="Y9" s="8">
        <v>0</v>
      </c>
      <c r="Z9" s="8">
        <v>0</v>
      </c>
      <c r="AA9" s="8">
        <v>866.27</v>
      </c>
      <c r="AB9" s="8">
        <v>138.66999999999999</v>
      </c>
      <c r="AC9" s="8">
        <v>129.81</v>
      </c>
      <c r="AD9" s="8">
        <v>181.39</v>
      </c>
      <c r="AE9" s="8">
        <v>121.6</v>
      </c>
      <c r="AF9" s="8">
        <v>287.42</v>
      </c>
      <c r="AG9" s="8">
        <v>0</v>
      </c>
      <c r="AH9" s="8">
        <v>858.89</v>
      </c>
      <c r="AI9" s="8">
        <v>70.239999999999995</v>
      </c>
      <c r="AJ9" s="8">
        <v>265.32</v>
      </c>
      <c r="AK9" s="8">
        <v>273.58999999999997</v>
      </c>
      <c r="AL9" s="8">
        <v>240.02</v>
      </c>
      <c r="AM9" s="8">
        <v>186.15700000000001</v>
      </c>
      <c r="AN9" s="8">
        <v>217.17</v>
      </c>
      <c r="AO9" s="8">
        <v>0</v>
      </c>
      <c r="AP9" s="8">
        <v>1252.4970000000001</v>
      </c>
      <c r="AQ9" s="8">
        <v>105.34</v>
      </c>
      <c r="AR9" s="6"/>
      <c r="AS9" s="8">
        <v>14.71</v>
      </c>
      <c r="AT9" s="8">
        <v>105.38</v>
      </c>
      <c r="AU9" s="8">
        <v>0</v>
      </c>
      <c r="AV9" s="8">
        <v>225.43</v>
      </c>
      <c r="AW9" s="8">
        <v>246.45</v>
      </c>
      <c r="AX9" s="8">
        <v>50.24</v>
      </c>
      <c r="AY9" s="8">
        <v>123.21</v>
      </c>
      <c r="AZ9" s="8">
        <v>400.33</v>
      </c>
      <c r="BA9" s="6"/>
      <c r="BB9" s="8">
        <v>820.23</v>
      </c>
      <c r="BC9" s="8">
        <v>62.15</v>
      </c>
      <c r="BD9" s="8">
        <v>62.15</v>
      </c>
      <c r="BE9" s="8">
        <v>242.76</v>
      </c>
      <c r="BF9" s="8">
        <v>141.06</v>
      </c>
      <c r="BG9" s="8">
        <v>383.82</v>
      </c>
      <c r="BH9" s="8">
        <v>1.72</v>
      </c>
      <c r="BI9" s="8">
        <v>1.72</v>
      </c>
      <c r="BJ9" s="6"/>
      <c r="BK9" s="6"/>
      <c r="BL9" s="8">
        <v>6070.4269999999997</v>
      </c>
      <c r="BM9" s="8">
        <v>21.11</v>
      </c>
      <c r="BN9" s="8">
        <v>232.58</v>
      </c>
      <c r="BO9" s="8">
        <v>149.6</v>
      </c>
      <c r="BP9" s="8">
        <v>225.24</v>
      </c>
      <c r="BQ9" s="8">
        <v>-11.64</v>
      </c>
      <c r="BR9" s="8">
        <v>616.89</v>
      </c>
      <c r="BS9" s="8">
        <v>616.89</v>
      </c>
      <c r="BT9" s="6"/>
      <c r="BU9" s="6"/>
      <c r="BV9" s="6"/>
      <c r="BW9" s="6"/>
      <c r="BX9" s="6"/>
      <c r="BY9" s="6"/>
      <c r="BZ9" s="6"/>
      <c r="CA9" s="6"/>
      <c r="CB9" s="6"/>
      <c r="CC9" s="6"/>
      <c r="CD9" s="6"/>
      <c r="CE9" s="6"/>
      <c r="CF9" s="6"/>
      <c r="CG9" s="9">
        <v>6687.317</v>
      </c>
    </row>
    <row r="10" spans="1:85" x14ac:dyDescent="0.3">
      <c r="A10" s="3" t="str">
        <f t="shared" si="2"/>
        <v>ADDDiscoveryAdvancing Informal STEM Learning (AISL)Total</v>
      </c>
      <c r="B10" s="6" t="s">
        <v>81</v>
      </c>
      <c r="C10" s="6" t="s">
        <v>82</v>
      </c>
      <c r="D10" s="6" t="s">
        <v>83</v>
      </c>
      <c r="E10" s="6" t="s">
        <v>24</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8">
        <v>74.5</v>
      </c>
      <c r="BO10" s="6"/>
      <c r="BP10" s="6"/>
      <c r="BQ10" s="6"/>
      <c r="BR10" s="8">
        <v>74.5</v>
      </c>
      <c r="BS10" s="8">
        <v>74.5</v>
      </c>
      <c r="BT10" s="6"/>
      <c r="BU10" s="6"/>
      <c r="BV10" s="6"/>
      <c r="BW10" s="6"/>
      <c r="BX10" s="6"/>
      <c r="BY10" s="6"/>
      <c r="BZ10" s="6"/>
      <c r="CA10" s="6"/>
      <c r="CB10" s="6"/>
      <c r="CC10" s="6"/>
      <c r="CD10" s="6"/>
      <c r="CE10" s="6"/>
      <c r="CF10" s="6"/>
      <c r="CG10" s="9">
        <v>74.5</v>
      </c>
    </row>
    <row r="11" spans="1:85" x14ac:dyDescent="0.3">
      <c r="A11" s="3" t="str">
        <f t="shared" si="2"/>
        <v>ADDDiscoveryAlliances for Graduate Education &amp; the Professoriate (AGEP)Total</v>
      </c>
      <c r="B11" s="6" t="s">
        <v>81</v>
      </c>
      <c r="C11" s="6" t="s">
        <v>82</v>
      </c>
      <c r="D11" s="6" t="s">
        <v>84</v>
      </c>
      <c r="E11" s="6" t="s">
        <v>24</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8">
        <v>14</v>
      </c>
      <c r="BQ11" s="6"/>
      <c r="BR11" s="8">
        <v>14</v>
      </c>
      <c r="BS11" s="8">
        <v>14</v>
      </c>
      <c r="BT11" s="6"/>
      <c r="BU11" s="6"/>
      <c r="BV11" s="6"/>
      <c r="BW11" s="6"/>
      <c r="BX11" s="6"/>
      <c r="BY11" s="6"/>
      <c r="BZ11" s="6"/>
      <c r="CA11" s="6"/>
      <c r="CB11" s="6"/>
      <c r="CC11" s="6"/>
      <c r="CD11" s="6"/>
      <c r="CE11" s="6"/>
      <c r="CF11" s="6"/>
      <c r="CG11" s="9">
        <v>14</v>
      </c>
    </row>
    <row r="12" spans="1:85" x14ac:dyDescent="0.3">
      <c r="A12" s="3" t="str">
        <f t="shared" si="2"/>
        <v>ADDDiscoveryArtificial Intelligence Research Institutes, NationalTotal</v>
      </c>
      <c r="B12" s="6" t="s">
        <v>81</v>
      </c>
      <c r="C12" s="6" t="s">
        <v>82</v>
      </c>
      <c r="D12" s="6" t="s">
        <v>85</v>
      </c>
      <c r="E12" s="6" t="s">
        <v>24</v>
      </c>
      <c r="F12" s="6"/>
      <c r="G12" s="6"/>
      <c r="H12" s="6"/>
      <c r="I12" s="6"/>
      <c r="J12" s="6"/>
      <c r="K12" s="6"/>
      <c r="L12" s="6"/>
      <c r="M12" s="8">
        <v>3</v>
      </c>
      <c r="N12" s="8">
        <v>3.5</v>
      </c>
      <c r="O12" s="8">
        <v>10</v>
      </c>
      <c r="P12" s="8">
        <v>10</v>
      </c>
      <c r="Q12" s="8">
        <v>4</v>
      </c>
      <c r="R12" s="6"/>
      <c r="S12" s="8">
        <v>30.5</v>
      </c>
      <c r="T12" s="8">
        <v>2</v>
      </c>
      <c r="U12" s="8">
        <v>3</v>
      </c>
      <c r="V12" s="8">
        <v>2.7</v>
      </c>
      <c r="W12" s="8">
        <v>1.5</v>
      </c>
      <c r="X12" s="6"/>
      <c r="Y12" s="6"/>
      <c r="Z12" s="6"/>
      <c r="AA12" s="8">
        <v>9.1999999999999993</v>
      </c>
      <c r="AB12" s="6"/>
      <c r="AC12" s="6"/>
      <c r="AD12" s="6"/>
      <c r="AE12" s="6"/>
      <c r="AF12" s="8">
        <v>5</v>
      </c>
      <c r="AG12" s="6"/>
      <c r="AH12" s="8">
        <v>5</v>
      </c>
      <c r="AI12" s="8">
        <v>0.3</v>
      </c>
      <c r="AJ12" s="8">
        <v>2</v>
      </c>
      <c r="AK12" s="6"/>
      <c r="AL12" s="6"/>
      <c r="AM12" s="6"/>
      <c r="AN12" s="8">
        <v>2.7</v>
      </c>
      <c r="AO12" s="6"/>
      <c r="AP12" s="8">
        <v>5</v>
      </c>
      <c r="AQ12" s="8">
        <v>0.25</v>
      </c>
      <c r="AR12" s="6"/>
      <c r="AS12" s="8">
        <v>0.76500000000000001</v>
      </c>
      <c r="AT12" s="6"/>
      <c r="AU12" s="6"/>
      <c r="AV12" s="8">
        <v>1.0149999999999999</v>
      </c>
      <c r="AW12" s="6"/>
      <c r="AX12" s="6"/>
      <c r="AY12" s="6"/>
      <c r="AZ12" s="6"/>
      <c r="BA12" s="6"/>
      <c r="BB12" s="6"/>
      <c r="BC12" s="6"/>
      <c r="BD12" s="6"/>
      <c r="BE12" s="6"/>
      <c r="BF12" s="6"/>
      <c r="BG12" s="6"/>
      <c r="BH12" s="6"/>
      <c r="BI12" s="6"/>
      <c r="BJ12" s="6"/>
      <c r="BK12" s="6"/>
      <c r="BL12" s="8">
        <v>50.715000000000003</v>
      </c>
      <c r="BM12" s="6"/>
      <c r="BN12" s="8">
        <v>19.59</v>
      </c>
      <c r="BO12" s="6"/>
      <c r="BP12" s="6"/>
      <c r="BQ12" s="6"/>
      <c r="BR12" s="8">
        <v>19.59</v>
      </c>
      <c r="BS12" s="8">
        <v>19.59</v>
      </c>
      <c r="BT12" s="6"/>
      <c r="BU12" s="6"/>
      <c r="BV12" s="6"/>
      <c r="BW12" s="6"/>
      <c r="BX12" s="6"/>
      <c r="BY12" s="6"/>
      <c r="BZ12" s="6"/>
      <c r="CA12" s="6"/>
      <c r="CB12" s="6"/>
      <c r="CC12" s="6"/>
      <c r="CD12" s="6"/>
      <c r="CE12" s="6"/>
      <c r="CF12" s="6"/>
      <c r="CG12" s="9">
        <v>70.305000000000007</v>
      </c>
    </row>
    <row r="13" spans="1:85" x14ac:dyDescent="0.3">
      <c r="A13" s="3" t="str">
        <f t="shared" si="2"/>
        <v>ADDDiscoveryBiology Integration Institutes (BII)Total</v>
      </c>
      <c r="B13" s="6" t="s">
        <v>81</v>
      </c>
      <c r="C13" s="6" t="s">
        <v>82</v>
      </c>
      <c r="D13" s="6" t="s">
        <v>97</v>
      </c>
      <c r="E13" s="6" t="s">
        <v>24</v>
      </c>
      <c r="F13" s="8">
        <v>37</v>
      </c>
      <c r="G13" s="6"/>
      <c r="H13" s="8">
        <v>12.5</v>
      </c>
      <c r="I13" s="6"/>
      <c r="J13" s="6"/>
      <c r="K13" s="6"/>
      <c r="L13" s="8">
        <v>49.5</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8">
        <v>49.5</v>
      </c>
      <c r="BM13" s="6"/>
      <c r="BN13" s="6"/>
      <c r="BO13" s="6"/>
      <c r="BP13" s="6"/>
      <c r="BQ13" s="6"/>
      <c r="BR13" s="6"/>
      <c r="BS13" s="6"/>
      <c r="BT13" s="6"/>
      <c r="BU13" s="6"/>
      <c r="BV13" s="6"/>
      <c r="BW13" s="6"/>
      <c r="BX13" s="6"/>
      <c r="BY13" s="6"/>
      <c r="BZ13" s="6"/>
      <c r="CA13" s="6"/>
      <c r="CB13" s="6"/>
      <c r="CC13" s="6"/>
      <c r="CD13" s="6"/>
      <c r="CE13" s="6"/>
      <c r="CF13" s="6"/>
      <c r="CG13" s="9">
        <v>49.5</v>
      </c>
    </row>
    <row r="14" spans="1:85" x14ac:dyDescent="0.3">
      <c r="A14" s="3" t="str">
        <f t="shared" si="2"/>
        <v>ADDDiscoveryCenters for Analysis &amp; SynthesisTotal</v>
      </c>
      <c r="B14" s="6" t="s">
        <v>81</v>
      </c>
      <c r="C14" s="6" t="s">
        <v>82</v>
      </c>
      <c r="D14" s="6" t="s">
        <v>99</v>
      </c>
      <c r="E14" s="6" t="s">
        <v>24</v>
      </c>
      <c r="F14" s="8">
        <v>3</v>
      </c>
      <c r="G14" s="6"/>
      <c r="H14" s="8">
        <v>2</v>
      </c>
      <c r="I14" s="8">
        <v>0</v>
      </c>
      <c r="J14" s="6"/>
      <c r="K14" s="6"/>
      <c r="L14" s="8">
        <v>5</v>
      </c>
      <c r="M14" s="6"/>
      <c r="N14" s="6"/>
      <c r="O14" s="6"/>
      <c r="P14" s="6"/>
      <c r="Q14" s="6"/>
      <c r="R14" s="6"/>
      <c r="S14" s="6"/>
      <c r="T14" s="6"/>
      <c r="U14" s="6"/>
      <c r="V14" s="6"/>
      <c r="W14" s="6"/>
      <c r="X14" s="6"/>
      <c r="Y14" s="6"/>
      <c r="Z14" s="6"/>
      <c r="AA14" s="6"/>
      <c r="AB14" s="6"/>
      <c r="AC14" s="6"/>
      <c r="AD14" s="6"/>
      <c r="AE14" s="6"/>
      <c r="AF14" s="6"/>
      <c r="AG14" s="6"/>
      <c r="AH14" s="6"/>
      <c r="AI14" s="6"/>
      <c r="AJ14" s="6"/>
      <c r="AK14" s="6"/>
      <c r="AL14" s="8">
        <v>0</v>
      </c>
      <c r="AM14" s="6"/>
      <c r="AN14" s="6"/>
      <c r="AO14" s="6"/>
      <c r="AP14" s="8">
        <v>0</v>
      </c>
      <c r="AQ14" s="6"/>
      <c r="AR14" s="6"/>
      <c r="AS14" s="6"/>
      <c r="AT14" s="6"/>
      <c r="AU14" s="6"/>
      <c r="AV14" s="6"/>
      <c r="AW14" s="6"/>
      <c r="AX14" s="6"/>
      <c r="AY14" s="6"/>
      <c r="AZ14" s="6"/>
      <c r="BA14" s="6"/>
      <c r="BB14" s="6"/>
      <c r="BC14" s="6"/>
      <c r="BD14" s="6"/>
      <c r="BE14" s="6"/>
      <c r="BF14" s="6"/>
      <c r="BG14" s="6"/>
      <c r="BH14" s="6"/>
      <c r="BI14" s="6"/>
      <c r="BJ14" s="6"/>
      <c r="BK14" s="6"/>
      <c r="BL14" s="8">
        <v>5</v>
      </c>
      <c r="BM14" s="6"/>
      <c r="BN14" s="6"/>
      <c r="BO14" s="6"/>
      <c r="BP14" s="6"/>
      <c r="BQ14" s="6"/>
      <c r="BR14" s="6"/>
      <c r="BS14" s="6"/>
      <c r="BT14" s="6"/>
      <c r="BU14" s="6"/>
      <c r="BV14" s="6"/>
      <c r="BW14" s="6"/>
      <c r="BX14" s="6"/>
      <c r="BY14" s="6"/>
      <c r="BZ14" s="6"/>
      <c r="CA14" s="6"/>
      <c r="CB14" s="6"/>
      <c r="CC14" s="6"/>
      <c r="CD14" s="6"/>
      <c r="CE14" s="6"/>
      <c r="CF14" s="6"/>
      <c r="CG14" s="9">
        <v>5</v>
      </c>
    </row>
    <row r="15" spans="1:85" x14ac:dyDescent="0.3">
      <c r="A15" s="3" t="str">
        <f t="shared" si="2"/>
        <v>ADDDiscoveryCenters for Chemical Innovation (CCI)Total</v>
      </c>
      <c r="B15" s="6" t="s">
        <v>81</v>
      </c>
      <c r="C15" s="6" t="s">
        <v>82</v>
      </c>
      <c r="D15" s="6" t="s">
        <v>100</v>
      </c>
      <c r="E15" s="6" t="s">
        <v>24</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8">
        <v>27.7</v>
      </c>
      <c r="AK15" s="6"/>
      <c r="AL15" s="6"/>
      <c r="AM15" s="8">
        <v>0</v>
      </c>
      <c r="AN15" s="6"/>
      <c r="AO15" s="6"/>
      <c r="AP15" s="8">
        <v>27.7</v>
      </c>
      <c r="AQ15" s="6"/>
      <c r="AR15" s="6"/>
      <c r="AS15" s="6"/>
      <c r="AT15" s="6"/>
      <c r="AU15" s="6"/>
      <c r="AV15" s="6"/>
      <c r="AW15" s="6"/>
      <c r="AX15" s="6"/>
      <c r="AY15" s="6"/>
      <c r="AZ15" s="6"/>
      <c r="BA15" s="6"/>
      <c r="BB15" s="6"/>
      <c r="BC15" s="6"/>
      <c r="BD15" s="6"/>
      <c r="BE15" s="6"/>
      <c r="BF15" s="6"/>
      <c r="BG15" s="6"/>
      <c r="BH15" s="6"/>
      <c r="BI15" s="6"/>
      <c r="BJ15" s="6"/>
      <c r="BK15" s="6"/>
      <c r="BL15" s="8">
        <v>27.7</v>
      </c>
      <c r="BM15" s="6"/>
      <c r="BN15" s="6"/>
      <c r="BO15" s="6"/>
      <c r="BP15" s="6"/>
      <c r="BQ15" s="6"/>
      <c r="BR15" s="6"/>
      <c r="BS15" s="6"/>
      <c r="BT15" s="6"/>
      <c r="BU15" s="6"/>
      <c r="BV15" s="6"/>
      <c r="BW15" s="6"/>
      <c r="BX15" s="6"/>
      <c r="BY15" s="6"/>
      <c r="BZ15" s="6"/>
      <c r="CA15" s="6"/>
      <c r="CB15" s="6"/>
      <c r="CC15" s="6"/>
      <c r="CD15" s="6"/>
      <c r="CE15" s="6"/>
      <c r="CF15" s="6"/>
      <c r="CG15" s="9">
        <v>27.7</v>
      </c>
    </row>
    <row r="16" spans="1:85" x14ac:dyDescent="0.3">
      <c r="A16" s="3" t="str">
        <f t="shared" si="2"/>
        <v>ADDDiscoveryCenters of Research Excellence in Science &amp; Technology (CREST)Total</v>
      </c>
      <c r="B16" s="6" t="s">
        <v>81</v>
      </c>
      <c r="C16" s="6" t="s">
        <v>82</v>
      </c>
      <c r="D16" s="6" t="s">
        <v>101</v>
      </c>
      <c r="E16" s="6" t="s">
        <v>24</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8">
        <v>41</v>
      </c>
      <c r="BQ16" s="6"/>
      <c r="BR16" s="8">
        <v>41</v>
      </c>
      <c r="BS16" s="8">
        <v>41</v>
      </c>
      <c r="BT16" s="6"/>
      <c r="BU16" s="6"/>
      <c r="BV16" s="6"/>
      <c r="BW16" s="6"/>
      <c r="BX16" s="6"/>
      <c r="BY16" s="6"/>
      <c r="BZ16" s="6"/>
      <c r="CA16" s="6"/>
      <c r="CB16" s="6"/>
      <c r="CC16" s="6"/>
      <c r="CD16" s="6"/>
      <c r="CE16" s="6"/>
      <c r="CF16" s="6"/>
      <c r="CG16" s="9">
        <v>41</v>
      </c>
    </row>
    <row r="17" spans="1:85" x14ac:dyDescent="0.3">
      <c r="A17" s="3" t="str">
        <f t="shared" si="2"/>
        <v>ADDDiscoveryConvergence Accelerator ResearchTotal</v>
      </c>
      <c r="B17" s="6" t="s">
        <v>81</v>
      </c>
      <c r="C17" s="6" t="s">
        <v>82</v>
      </c>
      <c r="D17" s="6" t="s">
        <v>102</v>
      </c>
      <c r="E17" s="6" t="s">
        <v>24</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8">
        <v>70</v>
      </c>
      <c r="AX17" s="6"/>
      <c r="AY17" s="6"/>
      <c r="AZ17" s="6"/>
      <c r="BA17" s="6"/>
      <c r="BB17" s="8">
        <v>70</v>
      </c>
      <c r="BC17" s="6"/>
      <c r="BD17" s="6"/>
      <c r="BE17" s="6"/>
      <c r="BF17" s="6"/>
      <c r="BG17" s="6"/>
      <c r="BH17" s="6"/>
      <c r="BI17" s="6"/>
      <c r="BJ17" s="6"/>
      <c r="BK17" s="6"/>
      <c r="BL17" s="8">
        <v>70</v>
      </c>
      <c r="BM17" s="6"/>
      <c r="BN17" s="6"/>
      <c r="BO17" s="6"/>
      <c r="BP17" s="6"/>
      <c r="BQ17" s="6"/>
      <c r="BR17" s="6"/>
      <c r="BS17" s="6"/>
      <c r="BT17" s="6"/>
      <c r="BU17" s="6"/>
      <c r="BV17" s="6"/>
      <c r="BW17" s="6"/>
      <c r="BX17" s="6"/>
      <c r="BY17" s="6"/>
      <c r="BZ17" s="6"/>
      <c r="CA17" s="6"/>
      <c r="CB17" s="6"/>
      <c r="CC17" s="6"/>
      <c r="CD17" s="6"/>
      <c r="CE17" s="6"/>
      <c r="CF17" s="6"/>
      <c r="CG17" s="9">
        <v>70</v>
      </c>
    </row>
    <row r="18" spans="1:85" x14ac:dyDescent="0.3">
      <c r="A18" s="3" t="str">
        <f t="shared" si="2"/>
        <v>ADDDiscoveryDisciplinary &amp; Interdisciplinary ResearchTotal</v>
      </c>
      <c r="B18" s="6" t="s">
        <v>81</v>
      </c>
      <c r="C18" s="6" t="s">
        <v>82</v>
      </c>
      <c r="D18" s="6" t="s">
        <v>103</v>
      </c>
      <c r="E18" s="6" t="s">
        <v>24</v>
      </c>
      <c r="F18" s="8">
        <v>18</v>
      </c>
      <c r="G18" s="8">
        <v>157.28</v>
      </c>
      <c r="H18" s="8">
        <v>70.64</v>
      </c>
      <c r="I18" s="8">
        <v>194.54</v>
      </c>
      <c r="J18" s="8">
        <v>156.38999999999999</v>
      </c>
      <c r="K18" s="6"/>
      <c r="L18" s="8">
        <v>596.85</v>
      </c>
      <c r="M18" s="8">
        <v>195.33</v>
      </c>
      <c r="N18" s="8">
        <v>212.43</v>
      </c>
      <c r="O18" s="8">
        <v>215.88</v>
      </c>
      <c r="P18" s="8">
        <v>99.16</v>
      </c>
      <c r="Q18" s="8">
        <v>85.92</v>
      </c>
      <c r="R18" s="6"/>
      <c r="S18" s="8">
        <v>808.72</v>
      </c>
      <c r="T18" s="8">
        <v>207.53</v>
      </c>
      <c r="U18" s="8">
        <v>230.59</v>
      </c>
      <c r="V18" s="8">
        <v>122.56</v>
      </c>
      <c r="W18" s="8">
        <v>32.22</v>
      </c>
      <c r="X18" s="8">
        <v>133.91999999999999</v>
      </c>
      <c r="Y18" s="8">
        <v>0</v>
      </c>
      <c r="Z18" s="6"/>
      <c r="AA18" s="8">
        <v>726.82</v>
      </c>
      <c r="AB18" s="8">
        <v>133.66999999999999</v>
      </c>
      <c r="AC18" s="8">
        <v>129.81</v>
      </c>
      <c r="AD18" s="8">
        <v>168.39</v>
      </c>
      <c r="AE18" s="8">
        <v>113.22</v>
      </c>
      <c r="AF18" s="8">
        <v>252.42</v>
      </c>
      <c r="AG18" s="6"/>
      <c r="AH18" s="8">
        <v>797.51</v>
      </c>
      <c r="AI18" s="8">
        <v>69.94</v>
      </c>
      <c r="AJ18" s="8">
        <v>235.62</v>
      </c>
      <c r="AK18" s="8">
        <v>206.79</v>
      </c>
      <c r="AL18" s="8">
        <v>240.02</v>
      </c>
      <c r="AM18" s="8">
        <v>119.157</v>
      </c>
      <c r="AN18" s="8">
        <v>209.47</v>
      </c>
      <c r="AO18" s="6"/>
      <c r="AP18" s="8">
        <v>1080.9970000000001</v>
      </c>
      <c r="AQ18" s="8">
        <v>104.83</v>
      </c>
      <c r="AR18" s="6"/>
      <c r="AS18" s="8">
        <v>13.945</v>
      </c>
      <c r="AT18" s="8">
        <v>105.38</v>
      </c>
      <c r="AU18" s="6"/>
      <c r="AV18" s="8">
        <v>224.155</v>
      </c>
      <c r="AW18" s="8">
        <v>26.45</v>
      </c>
      <c r="AX18" s="8">
        <v>50.24</v>
      </c>
      <c r="AY18" s="8">
        <v>73.209999999999994</v>
      </c>
      <c r="AZ18" s="8">
        <v>47.27</v>
      </c>
      <c r="BA18" s="6"/>
      <c r="BB18" s="8">
        <v>197.17</v>
      </c>
      <c r="BC18" s="8">
        <v>62.15</v>
      </c>
      <c r="BD18" s="8">
        <v>62.15</v>
      </c>
      <c r="BE18" s="6"/>
      <c r="BF18" s="6"/>
      <c r="BG18" s="6"/>
      <c r="BH18" s="8">
        <v>1.72</v>
      </c>
      <c r="BI18" s="8">
        <v>1.72</v>
      </c>
      <c r="BJ18" s="6"/>
      <c r="BK18" s="6"/>
      <c r="BL18" s="8">
        <v>4496.0919999999996</v>
      </c>
      <c r="BM18" s="8">
        <v>21.11</v>
      </c>
      <c r="BN18" s="8">
        <v>38.99</v>
      </c>
      <c r="BO18" s="8">
        <v>23.85</v>
      </c>
      <c r="BP18" s="8">
        <v>17.989999999999998</v>
      </c>
      <c r="BQ18" s="6"/>
      <c r="BR18" s="8">
        <v>101.94</v>
      </c>
      <c r="BS18" s="8">
        <v>101.94</v>
      </c>
      <c r="BT18" s="6"/>
      <c r="BU18" s="6"/>
      <c r="BV18" s="6"/>
      <c r="BW18" s="6"/>
      <c r="BX18" s="6"/>
      <c r="BY18" s="6"/>
      <c r="BZ18" s="6"/>
      <c r="CA18" s="6"/>
      <c r="CB18" s="6"/>
      <c r="CC18" s="6"/>
      <c r="CD18" s="6"/>
      <c r="CE18" s="6"/>
      <c r="CF18" s="6"/>
      <c r="CG18" s="9">
        <v>4598.0320000000002</v>
      </c>
    </row>
    <row r="19" spans="1:85" x14ac:dyDescent="0.3">
      <c r="A19" s="3" t="str">
        <f t="shared" si="2"/>
        <v>ADDDiscoveryDiscovery Research PreK-12 (DRK-12)Total</v>
      </c>
      <c r="B19" s="6" t="s">
        <v>81</v>
      </c>
      <c r="C19" s="6" t="s">
        <v>82</v>
      </c>
      <c r="D19" s="6" t="s">
        <v>104</v>
      </c>
      <c r="E19" s="6" t="s">
        <v>24</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8">
        <v>99.5</v>
      </c>
      <c r="BO19" s="6"/>
      <c r="BP19" s="6"/>
      <c r="BQ19" s="6"/>
      <c r="BR19" s="8">
        <v>99.5</v>
      </c>
      <c r="BS19" s="8">
        <v>99.5</v>
      </c>
      <c r="BT19" s="6"/>
      <c r="BU19" s="6"/>
      <c r="BV19" s="6"/>
      <c r="BW19" s="6"/>
      <c r="BX19" s="6"/>
      <c r="BY19" s="6"/>
      <c r="BZ19" s="6"/>
      <c r="CA19" s="6"/>
      <c r="CB19" s="6"/>
      <c r="CC19" s="6"/>
      <c r="CD19" s="6"/>
      <c r="CE19" s="6"/>
      <c r="CF19" s="6"/>
      <c r="CG19" s="9">
        <v>99.5</v>
      </c>
    </row>
    <row r="20" spans="1:85" x14ac:dyDescent="0.3">
      <c r="A20" s="3" t="str">
        <f t="shared" si="2"/>
        <v>ADDDiscoveryDiscovery Stewardship OffsetTotal</v>
      </c>
      <c r="B20" s="6" t="s">
        <v>81</v>
      </c>
      <c r="C20" s="6" t="s">
        <v>82</v>
      </c>
      <c r="D20" s="6" t="s">
        <v>105</v>
      </c>
      <c r="E20" s="6" t="s">
        <v>24</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8">
        <v>-4.49</v>
      </c>
      <c r="BF20" s="8">
        <v>-2.4700000000000002</v>
      </c>
      <c r="BG20" s="8">
        <v>-6.96</v>
      </c>
      <c r="BH20" s="6"/>
      <c r="BI20" s="6"/>
      <c r="BJ20" s="6"/>
      <c r="BK20" s="6"/>
      <c r="BL20" s="8">
        <v>-6.96</v>
      </c>
      <c r="BM20" s="6"/>
      <c r="BN20" s="6"/>
      <c r="BO20" s="6"/>
      <c r="BP20" s="6"/>
      <c r="BQ20" s="8">
        <v>-11.64</v>
      </c>
      <c r="BR20" s="8">
        <v>-11.64</v>
      </c>
      <c r="BS20" s="8">
        <v>-11.64</v>
      </c>
      <c r="BT20" s="6"/>
      <c r="BU20" s="6"/>
      <c r="BV20" s="6"/>
      <c r="BW20" s="6"/>
      <c r="BX20" s="6"/>
      <c r="BY20" s="6"/>
      <c r="BZ20" s="6"/>
      <c r="CA20" s="6"/>
      <c r="CB20" s="6"/>
      <c r="CC20" s="6"/>
      <c r="CD20" s="6"/>
      <c r="CE20" s="6"/>
      <c r="CF20" s="6"/>
      <c r="CG20" s="9">
        <v>-18.600000000000001</v>
      </c>
    </row>
    <row r="21" spans="1:85" x14ac:dyDescent="0.3">
      <c r="A21" s="3" t="str">
        <f t="shared" si="2"/>
        <v>ADDDiscoveryEngineering Research Centers (ERC)Total</v>
      </c>
      <c r="B21" s="6" t="s">
        <v>81</v>
      </c>
      <c r="C21" s="6" t="s">
        <v>82</v>
      </c>
      <c r="D21" s="6" t="s">
        <v>106</v>
      </c>
      <c r="E21" s="6" t="s">
        <v>24</v>
      </c>
      <c r="F21" s="6"/>
      <c r="G21" s="6"/>
      <c r="H21" s="6"/>
      <c r="I21" s="6"/>
      <c r="J21" s="6"/>
      <c r="K21" s="6"/>
      <c r="L21" s="6"/>
      <c r="M21" s="6"/>
      <c r="N21" s="6"/>
      <c r="O21" s="6"/>
      <c r="P21" s="6"/>
      <c r="Q21" s="6"/>
      <c r="R21" s="6"/>
      <c r="S21" s="6"/>
      <c r="T21" s="6"/>
      <c r="U21" s="6"/>
      <c r="V21" s="6"/>
      <c r="W21" s="8">
        <v>71.5</v>
      </c>
      <c r="X21" s="6"/>
      <c r="Y21" s="6"/>
      <c r="Z21" s="6"/>
      <c r="AA21" s="8">
        <v>71.5</v>
      </c>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8">
        <v>71.5</v>
      </c>
      <c r="BM21" s="6"/>
      <c r="BN21" s="6"/>
      <c r="BO21" s="6"/>
      <c r="BP21" s="6"/>
      <c r="BQ21" s="6"/>
      <c r="BR21" s="6"/>
      <c r="BS21" s="6"/>
      <c r="BT21" s="6"/>
      <c r="BU21" s="6"/>
      <c r="BV21" s="6"/>
      <c r="BW21" s="6"/>
      <c r="BX21" s="6"/>
      <c r="BY21" s="6"/>
      <c r="BZ21" s="6"/>
      <c r="CA21" s="6"/>
      <c r="CB21" s="6"/>
      <c r="CC21" s="6"/>
      <c r="CD21" s="6"/>
      <c r="CE21" s="6"/>
      <c r="CF21" s="6"/>
      <c r="CG21" s="9">
        <v>71.5</v>
      </c>
    </row>
    <row r="22" spans="1:85" x14ac:dyDescent="0.3">
      <c r="A22" s="3" t="str">
        <f t="shared" si="2"/>
        <v>ADDDiscoveryEPSCoRTotal</v>
      </c>
      <c r="B22" s="6" t="s">
        <v>81</v>
      </c>
      <c r="C22" s="6" t="s">
        <v>82</v>
      </c>
      <c r="D22" s="6" t="s">
        <v>14</v>
      </c>
      <c r="E22" s="6" t="s">
        <v>24</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8">
        <v>247.25</v>
      </c>
      <c r="BF22" s="8">
        <v>0</v>
      </c>
      <c r="BG22" s="8">
        <v>247.25</v>
      </c>
      <c r="BH22" s="6"/>
      <c r="BI22" s="6"/>
      <c r="BJ22" s="6"/>
      <c r="BK22" s="6"/>
      <c r="BL22" s="8">
        <v>247.25</v>
      </c>
      <c r="BM22" s="6"/>
      <c r="BN22" s="6"/>
      <c r="BO22" s="6"/>
      <c r="BP22" s="6"/>
      <c r="BQ22" s="6"/>
      <c r="BR22" s="6"/>
      <c r="BS22" s="6"/>
      <c r="BT22" s="6"/>
      <c r="BU22" s="6"/>
      <c r="BV22" s="6"/>
      <c r="BW22" s="6"/>
      <c r="BX22" s="6"/>
      <c r="BY22" s="6"/>
      <c r="BZ22" s="6"/>
      <c r="CA22" s="6"/>
      <c r="CB22" s="6"/>
      <c r="CC22" s="6"/>
      <c r="CD22" s="6"/>
      <c r="CE22" s="6"/>
      <c r="CF22" s="6"/>
      <c r="CG22" s="9">
        <v>247.25</v>
      </c>
    </row>
    <row r="23" spans="1:85" x14ac:dyDescent="0.3">
      <c r="A23" s="3" t="str">
        <f t="shared" si="2"/>
        <v>ADDDiscoveryEPSCoREPSCoR Co-Funding</v>
      </c>
      <c r="B23" s="6" t="s">
        <v>81</v>
      </c>
      <c r="C23" s="6" t="s">
        <v>82</v>
      </c>
      <c r="D23" s="6" t="s">
        <v>14</v>
      </c>
      <c r="E23" s="6" t="s">
        <v>107</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8">
        <v>48.21</v>
      </c>
      <c r="BF23" s="8">
        <v>0</v>
      </c>
      <c r="BG23" s="8">
        <v>48.21</v>
      </c>
      <c r="BH23" s="6"/>
      <c r="BI23" s="6"/>
      <c r="BJ23" s="6"/>
      <c r="BK23" s="6"/>
      <c r="BL23" s="8">
        <v>48.21</v>
      </c>
      <c r="BM23" s="6"/>
      <c r="BN23" s="6"/>
      <c r="BO23" s="6"/>
      <c r="BP23" s="6"/>
      <c r="BQ23" s="6"/>
      <c r="BR23" s="6"/>
      <c r="BS23" s="6"/>
      <c r="BT23" s="6"/>
      <c r="BU23" s="6"/>
      <c r="BV23" s="6"/>
      <c r="BW23" s="6"/>
      <c r="BX23" s="6"/>
      <c r="BY23" s="6"/>
      <c r="BZ23" s="6"/>
      <c r="CA23" s="6"/>
      <c r="CB23" s="6"/>
      <c r="CC23" s="6"/>
      <c r="CD23" s="6"/>
      <c r="CE23" s="6"/>
      <c r="CF23" s="6"/>
      <c r="CG23" s="9">
        <v>48.21</v>
      </c>
    </row>
    <row r="24" spans="1:85" x14ac:dyDescent="0.3">
      <c r="A24" s="3" t="str">
        <f t="shared" si="2"/>
        <v>ADDDiscoveryEPSCoREPSCoR Outreach</v>
      </c>
      <c r="B24" s="6" t="s">
        <v>81</v>
      </c>
      <c r="C24" s="6" t="s">
        <v>82</v>
      </c>
      <c r="D24" s="6" t="s">
        <v>14</v>
      </c>
      <c r="E24" s="6" t="s">
        <v>108</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8">
        <v>1.35</v>
      </c>
      <c r="BF24" s="8">
        <v>0</v>
      </c>
      <c r="BG24" s="8">
        <v>1.35</v>
      </c>
      <c r="BH24" s="6"/>
      <c r="BI24" s="6"/>
      <c r="BJ24" s="6"/>
      <c r="BK24" s="6"/>
      <c r="BL24" s="8">
        <v>1.35</v>
      </c>
      <c r="BM24" s="6"/>
      <c r="BN24" s="6"/>
      <c r="BO24" s="6"/>
      <c r="BP24" s="6"/>
      <c r="BQ24" s="6"/>
      <c r="BR24" s="6"/>
      <c r="BS24" s="6"/>
      <c r="BT24" s="6"/>
      <c r="BU24" s="6"/>
      <c r="BV24" s="6"/>
      <c r="BW24" s="6"/>
      <c r="BX24" s="6"/>
      <c r="BY24" s="6"/>
      <c r="BZ24" s="6"/>
      <c r="CA24" s="6"/>
      <c r="CB24" s="6"/>
      <c r="CC24" s="6"/>
      <c r="CD24" s="6"/>
      <c r="CE24" s="6"/>
      <c r="CF24" s="6"/>
      <c r="CG24" s="9">
        <v>1.35</v>
      </c>
    </row>
    <row r="25" spans="1:85" x14ac:dyDescent="0.3">
      <c r="A25" s="3" t="str">
        <f t="shared" si="2"/>
        <v>ADDDiscoveryEPSCoREPSCoR Research Infrastructure Improvement (RII)</v>
      </c>
      <c r="B25" s="6" t="s">
        <v>81</v>
      </c>
      <c r="C25" s="6" t="s">
        <v>82</v>
      </c>
      <c r="D25" s="6" t="s">
        <v>14</v>
      </c>
      <c r="E25" s="6" t="s">
        <v>109</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8">
        <v>197.69</v>
      </c>
      <c r="BF25" s="8">
        <v>0</v>
      </c>
      <c r="BG25" s="8">
        <v>197.69</v>
      </c>
      <c r="BH25" s="6"/>
      <c r="BI25" s="6"/>
      <c r="BJ25" s="6"/>
      <c r="BK25" s="6"/>
      <c r="BL25" s="8">
        <v>197.69</v>
      </c>
      <c r="BM25" s="6"/>
      <c r="BN25" s="6"/>
      <c r="BO25" s="6"/>
      <c r="BP25" s="6"/>
      <c r="BQ25" s="6"/>
      <c r="BR25" s="6"/>
      <c r="BS25" s="6"/>
      <c r="BT25" s="6"/>
      <c r="BU25" s="6"/>
      <c r="BV25" s="6"/>
      <c r="BW25" s="6"/>
      <c r="BX25" s="6"/>
      <c r="BY25" s="6"/>
      <c r="BZ25" s="6"/>
      <c r="CA25" s="6"/>
      <c r="CB25" s="6"/>
      <c r="CC25" s="6"/>
      <c r="CD25" s="6"/>
      <c r="CE25" s="6"/>
      <c r="CF25" s="6"/>
      <c r="CG25" s="9">
        <v>197.69</v>
      </c>
    </row>
    <row r="26" spans="1:85" x14ac:dyDescent="0.3">
      <c r="A26" s="3" t="str">
        <f t="shared" si="2"/>
        <v>ADDDiscoveryFacility Operation TransitionTotal</v>
      </c>
      <c r="B26" s="6" t="s">
        <v>81</v>
      </c>
      <c r="C26" s="6" t="s">
        <v>82</v>
      </c>
      <c r="D26" s="6" t="s">
        <v>347</v>
      </c>
      <c r="E26" s="6" t="s">
        <v>24</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8">
        <v>12</v>
      </c>
      <c r="BG26" s="8">
        <v>12</v>
      </c>
      <c r="BH26" s="6"/>
      <c r="BI26" s="6"/>
      <c r="BJ26" s="6"/>
      <c r="BK26" s="6"/>
      <c r="BL26" s="8">
        <v>12</v>
      </c>
      <c r="BM26" s="6"/>
      <c r="BN26" s="6"/>
      <c r="BO26" s="6"/>
      <c r="BP26" s="6"/>
      <c r="BQ26" s="6"/>
      <c r="BR26" s="6"/>
      <c r="BS26" s="6"/>
      <c r="BT26" s="6"/>
      <c r="BU26" s="6"/>
      <c r="BV26" s="6"/>
      <c r="BW26" s="6"/>
      <c r="BX26" s="6"/>
      <c r="BY26" s="6"/>
      <c r="BZ26" s="6"/>
      <c r="CA26" s="6"/>
      <c r="CB26" s="6"/>
      <c r="CC26" s="6"/>
      <c r="CD26" s="6"/>
      <c r="CE26" s="6"/>
      <c r="CF26" s="6"/>
      <c r="CG26" s="9">
        <v>12</v>
      </c>
    </row>
    <row r="27" spans="1:85" x14ac:dyDescent="0.3">
      <c r="A27" s="3" t="str">
        <f t="shared" si="2"/>
        <v>ADDDiscoveryGrowing Convergence Research (GCR)Total</v>
      </c>
      <c r="B27" s="6" t="s">
        <v>81</v>
      </c>
      <c r="C27" s="6" t="s">
        <v>82</v>
      </c>
      <c r="D27" s="6" t="s">
        <v>87</v>
      </c>
      <c r="E27" s="6" t="s">
        <v>24</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8">
        <v>16</v>
      </c>
      <c r="BG27" s="8">
        <v>16</v>
      </c>
      <c r="BH27" s="6"/>
      <c r="BI27" s="6"/>
      <c r="BJ27" s="6"/>
      <c r="BK27" s="6"/>
      <c r="BL27" s="8">
        <v>16</v>
      </c>
      <c r="BM27" s="6"/>
      <c r="BN27" s="6"/>
      <c r="BO27" s="6"/>
      <c r="BP27" s="6"/>
      <c r="BQ27" s="6"/>
      <c r="BR27" s="6"/>
      <c r="BS27" s="6"/>
      <c r="BT27" s="6"/>
      <c r="BU27" s="6"/>
      <c r="BV27" s="6"/>
      <c r="BW27" s="6"/>
      <c r="BX27" s="6"/>
      <c r="BY27" s="6"/>
      <c r="BZ27" s="6"/>
      <c r="CA27" s="6"/>
      <c r="CB27" s="6"/>
      <c r="CC27" s="6"/>
      <c r="CD27" s="6"/>
      <c r="CE27" s="6"/>
      <c r="CF27" s="6"/>
      <c r="CG27" s="9">
        <v>16</v>
      </c>
    </row>
    <row r="28" spans="1:85" x14ac:dyDescent="0.3">
      <c r="A28" s="3" t="str">
        <f t="shared" si="2"/>
        <v>ADDDiscoveryGrowing Resrch Access for Nationally Transformative Equity &amp; Diversity (GRANTED)Total</v>
      </c>
      <c r="B28" s="6" t="s">
        <v>81</v>
      </c>
      <c r="C28" s="6" t="s">
        <v>82</v>
      </c>
      <c r="D28" s="6" t="s">
        <v>348</v>
      </c>
      <c r="E28" s="6" t="s">
        <v>24</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8">
        <v>50</v>
      </c>
      <c r="BG28" s="8">
        <v>50</v>
      </c>
      <c r="BH28" s="6"/>
      <c r="BI28" s="6"/>
      <c r="BJ28" s="6"/>
      <c r="BK28" s="6"/>
      <c r="BL28" s="8">
        <v>50</v>
      </c>
      <c r="BM28" s="6"/>
      <c r="BN28" s="6"/>
      <c r="BO28" s="6"/>
      <c r="BP28" s="6"/>
      <c r="BQ28" s="6"/>
      <c r="BR28" s="6"/>
      <c r="BS28" s="6"/>
      <c r="BT28" s="6"/>
      <c r="BU28" s="6"/>
      <c r="BV28" s="6"/>
      <c r="BW28" s="6"/>
      <c r="BX28" s="6"/>
      <c r="BY28" s="6"/>
      <c r="BZ28" s="6"/>
      <c r="CA28" s="6"/>
      <c r="CB28" s="6"/>
      <c r="CC28" s="6"/>
      <c r="CD28" s="6"/>
      <c r="CE28" s="6"/>
      <c r="CF28" s="6"/>
      <c r="CG28" s="9">
        <v>50</v>
      </c>
    </row>
    <row r="29" spans="1:85" x14ac:dyDescent="0.3">
      <c r="A29" s="3" t="str">
        <f t="shared" si="2"/>
        <v>ADDDiscoveryHarnessing the Data Revolution for 21st Century Science and Engineering (HDR)Total</v>
      </c>
      <c r="B29" s="6" t="s">
        <v>81</v>
      </c>
      <c r="C29" s="6" t="s">
        <v>82</v>
      </c>
      <c r="D29" s="6" t="s">
        <v>88</v>
      </c>
      <c r="E29" s="6" t="s">
        <v>24</v>
      </c>
      <c r="F29" s="6"/>
      <c r="G29" s="6"/>
      <c r="H29" s="6"/>
      <c r="I29" s="6"/>
      <c r="J29" s="6"/>
      <c r="K29" s="6"/>
      <c r="L29" s="6"/>
      <c r="M29" s="6"/>
      <c r="N29" s="6"/>
      <c r="O29" s="6"/>
      <c r="P29" s="8">
        <v>30</v>
      </c>
      <c r="Q29" s="6"/>
      <c r="R29" s="6"/>
      <c r="S29" s="8">
        <v>30</v>
      </c>
      <c r="T29" s="6"/>
      <c r="U29" s="6"/>
      <c r="V29" s="6"/>
      <c r="W29" s="6"/>
      <c r="X29" s="6"/>
      <c r="Y29" s="6"/>
      <c r="Z29" s="8">
        <v>0</v>
      </c>
      <c r="AA29" s="8">
        <v>0</v>
      </c>
      <c r="AB29" s="6"/>
      <c r="AC29" s="6"/>
      <c r="AD29" s="6"/>
      <c r="AE29" s="6"/>
      <c r="AF29" s="6"/>
      <c r="AG29" s="6"/>
      <c r="AH29" s="6"/>
      <c r="AI29" s="6"/>
      <c r="AJ29" s="6"/>
      <c r="AK29" s="6"/>
      <c r="AL29" s="6"/>
      <c r="AM29" s="6"/>
      <c r="AN29" s="6"/>
      <c r="AO29" s="6"/>
      <c r="AP29" s="6"/>
      <c r="AQ29" s="6"/>
      <c r="AR29" s="6"/>
      <c r="AS29" s="6"/>
      <c r="AT29" s="6"/>
      <c r="AU29" s="6"/>
      <c r="AV29" s="6"/>
      <c r="AW29" s="8">
        <v>0</v>
      </c>
      <c r="AX29" s="6"/>
      <c r="AY29" s="6"/>
      <c r="AZ29" s="6"/>
      <c r="BA29" s="6"/>
      <c r="BB29" s="8">
        <v>0</v>
      </c>
      <c r="BC29" s="6"/>
      <c r="BD29" s="6"/>
      <c r="BE29" s="6"/>
      <c r="BF29" s="8">
        <v>0</v>
      </c>
      <c r="BG29" s="8">
        <v>0</v>
      </c>
      <c r="BH29" s="6"/>
      <c r="BI29" s="6"/>
      <c r="BJ29" s="6"/>
      <c r="BK29" s="6"/>
      <c r="BL29" s="8">
        <v>30</v>
      </c>
      <c r="BM29" s="6"/>
      <c r="BN29" s="6"/>
      <c r="BO29" s="6"/>
      <c r="BP29" s="6"/>
      <c r="BQ29" s="6"/>
      <c r="BR29" s="6"/>
      <c r="BS29" s="6"/>
      <c r="BT29" s="6"/>
      <c r="BU29" s="6"/>
      <c r="BV29" s="6"/>
      <c r="BW29" s="6"/>
      <c r="BX29" s="6"/>
      <c r="BY29" s="6"/>
      <c r="BZ29" s="6"/>
      <c r="CA29" s="6"/>
      <c r="CB29" s="6"/>
      <c r="CC29" s="6"/>
      <c r="CD29" s="6"/>
      <c r="CE29" s="6"/>
      <c r="CF29" s="6"/>
      <c r="CG29" s="9">
        <v>30</v>
      </c>
    </row>
    <row r="30" spans="1:85" x14ac:dyDescent="0.3">
      <c r="A30" s="3" t="str">
        <f t="shared" si="2"/>
        <v>ADDDiscoveryHBCU Excellence in ResearchTotal</v>
      </c>
      <c r="B30" s="6" t="s">
        <v>81</v>
      </c>
      <c r="C30" s="6" t="s">
        <v>82</v>
      </c>
      <c r="D30" s="6" t="s">
        <v>110</v>
      </c>
      <c r="E30" s="6" t="s">
        <v>24</v>
      </c>
      <c r="F30" s="8">
        <v>0</v>
      </c>
      <c r="G30" s="6"/>
      <c r="H30" s="8">
        <v>0</v>
      </c>
      <c r="I30" s="6"/>
      <c r="J30" s="6"/>
      <c r="K30" s="6"/>
      <c r="L30" s="8">
        <v>0</v>
      </c>
      <c r="M30" s="8">
        <v>0</v>
      </c>
      <c r="N30" s="8">
        <v>0</v>
      </c>
      <c r="O30" s="8">
        <v>0</v>
      </c>
      <c r="P30" s="8">
        <v>0</v>
      </c>
      <c r="Q30" s="8">
        <v>0</v>
      </c>
      <c r="R30" s="6"/>
      <c r="S30" s="8">
        <v>0</v>
      </c>
      <c r="T30" s="6"/>
      <c r="U30" s="6"/>
      <c r="V30" s="6"/>
      <c r="W30" s="8">
        <v>0</v>
      </c>
      <c r="X30" s="6"/>
      <c r="Y30" s="6"/>
      <c r="Z30" s="6"/>
      <c r="AA30" s="8">
        <v>0</v>
      </c>
      <c r="AB30" s="6"/>
      <c r="AC30" s="6"/>
      <c r="AD30" s="6"/>
      <c r="AE30" s="8">
        <v>0</v>
      </c>
      <c r="AF30" s="6"/>
      <c r="AG30" s="6"/>
      <c r="AH30" s="8">
        <v>0</v>
      </c>
      <c r="AI30" s="6"/>
      <c r="AJ30" s="6"/>
      <c r="AK30" s="6"/>
      <c r="AL30" s="6"/>
      <c r="AM30" s="8">
        <v>0</v>
      </c>
      <c r="AN30" s="6"/>
      <c r="AO30" s="6"/>
      <c r="AP30" s="8">
        <v>0</v>
      </c>
      <c r="AQ30" s="6"/>
      <c r="AR30" s="6"/>
      <c r="AS30" s="8">
        <v>0</v>
      </c>
      <c r="AT30" s="6"/>
      <c r="AU30" s="6"/>
      <c r="AV30" s="8">
        <v>0</v>
      </c>
      <c r="AW30" s="6"/>
      <c r="AX30" s="6"/>
      <c r="AY30" s="6"/>
      <c r="AZ30" s="6"/>
      <c r="BA30" s="6"/>
      <c r="BB30" s="6"/>
      <c r="BC30" s="6"/>
      <c r="BD30" s="6"/>
      <c r="BE30" s="6"/>
      <c r="BF30" s="8">
        <v>37.93</v>
      </c>
      <c r="BG30" s="8">
        <v>37.93</v>
      </c>
      <c r="BH30" s="6"/>
      <c r="BI30" s="6"/>
      <c r="BJ30" s="6"/>
      <c r="BK30" s="6"/>
      <c r="BL30" s="8">
        <v>37.93</v>
      </c>
      <c r="BM30" s="6"/>
      <c r="BN30" s="6"/>
      <c r="BO30" s="6"/>
      <c r="BP30" s="6"/>
      <c r="BQ30" s="6"/>
      <c r="BR30" s="6"/>
      <c r="BS30" s="6"/>
      <c r="BT30" s="6"/>
      <c r="BU30" s="6"/>
      <c r="BV30" s="6"/>
      <c r="BW30" s="6"/>
      <c r="BX30" s="6"/>
      <c r="BY30" s="6"/>
      <c r="BZ30" s="6"/>
      <c r="CA30" s="6"/>
      <c r="CB30" s="6"/>
      <c r="CC30" s="6"/>
      <c r="CD30" s="6"/>
      <c r="CE30" s="6"/>
      <c r="CF30" s="6"/>
      <c r="CG30" s="9">
        <v>37.93</v>
      </c>
    </row>
    <row r="31" spans="1:85" x14ac:dyDescent="0.3">
      <c r="A31" s="3" t="str">
        <f t="shared" si="2"/>
        <v>ADDDiscoveryHispanic-Serving Institutions Total</v>
      </c>
      <c r="B31" s="6" t="s">
        <v>81</v>
      </c>
      <c r="C31" s="6" t="s">
        <v>82</v>
      </c>
      <c r="D31" s="6" t="s">
        <v>111</v>
      </c>
      <c r="E31" s="6" t="s">
        <v>24</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8">
        <v>30.25</v>
      </c>
      <c r="BP31" s="8">
        <v>30.25</v>
      </c>
      <c r="BQ31" s="6"/>
      <c r="BR31" s="8">
        <v>60.5</v>
      </c>
      <c r="BS31" s="8">
        <v>60.5</v>
      </c>
      <c r="BT31" s="6"/>
      <c r="BU31" s="6"/>
      <c r="BV31" s="6"/>
      <c r="BW31" s="6"/>
      <c r="BX31" s="6"/>
      <c r="BY31" s="6"/>
      <c r="BZ31" s="6"/>
      <c r="CA31" s="6"/>
      <c r="CB31" s="6"/>
      <c r="CC31" s="6"/>
      <c r="CD31" s="6"/>
      <c r="CE31" s="6"/>
      <c r="CF31" s="6"/>
      <c r="CG31" s="9">
        <v>60.5</v>
      </c>
    </row>
    <row r="32" spans="1:85" x14ac:dyDescent="0.3">
      <c r="A32" s="3" t="str">
        <f t="shared" si="2"/>
        <v>ADDDiscoveryHistorically Black Colleges &amp; Universities Undergraduate Program (HBCU-UP)Total</v>
      </c>
      <c r="B32" s="6" t="s">
        <v>81</v>
      </c>
      <c r="C32" s="6" t="s">
        <v>82</v>
      </c>
      <c r="D32" s="6" t="s">
        <v>112</v>
      </c>
      <c r="E32" s="6" t="s">
        <v>24</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8">
        <v>48.5</v>
      </c>
      <c r="BQ32" s="6"/>
      <c r="BR32" s="8">
        <v>48.5</v>
      </c>
      <c r="BS32" s="8">
        <v>48.5</v>
      </c>
      <c r="BT32" s="6"/>
      <c r="BU32" s="6"/>
      <c r="BV32" s="6"/>
      <c r="BW32" s="6"/>
      <c r="BX32" s="6"/>
      <c r="BY32" s="6"/>
      <c r="BZ32" s="6"/>
      <c r="CA32" s="6"/>
      <c r="CB32" s="6"/>
      <c r="CC32" s="6"/>
      <c r="CD32" s="6"/>
      <c r="CE32" s="6"/>
      <c r="CF32" s="6"/>
      <c r="CG32" s="9">
        <v>48.5</v>
      </c>
    </row>
    <row r="33" spans="1:85" x14ac:dyDescent="0.3">
      <c r="A33" s="3" t="str">
        <f t="shared" si="2"/>
        <v>ADDDiscoveryImproving Undergraduate STEM Education (IUSE)Total</v>
      </c>
      <c r="B33" s="6" t="s">
        <v>81</v>
      </c>
      <c r="C33" s="6" t="s">
        <v>82</v>
      </c>
      <c r="D33" s="6" t="s">
        <v>113</v>
      </c>
      <c r="E33" s="6" t="s">
        <v>24</v>
      </c>
      <c r="F33" s="8">
        <v>5</v>
      </c>
      <c r="G33" s="6"/>
      <c r="H33" s="6"/>
      <c r="I33" s="6"/>
      <c r="J33" s="6"/>
      <c r="K33" s="6"/>
      <c r="L33" s="8">
        <v>5</v>
      </c>
      <c r="M33" s="6"/>
      <c r="N33" s="8">
        <v>3</v>
      </c>
      <c r="O33" s="6"/>
      <c r="P33" s="6"/>
      <c r="Q33" s="6"/>
      <c r="R33" s="6"/>
      <c r="S33" s="8">
        <v>3</v>
      </c>
      <c r="T33" s="8">
        <v>1</v>
      </c>
      <c r="U33" s="8">
        <v>1</v>
      </c>
      <c r="V33" s="8">
        <v>0.9</v>
      </c>
      <c r="W33" s="8">
        <v>2.25</v>
      </c>
      <c r="X33" s="6"/>
      <c r="Y33" s="8">
        <v>0</v>
      </c>
      <c r="Z33" s="6"/>
      <c r="AA33" s="8">
        <v>5.15</v>
      </c>
      <c r="AB33" s="6"/>
      <c r="AC33" s="6"/>
      <c r="AD33" s="6"/>
      <c r="AE33" s="8">
        <v>0</v>
      </c>
      <c r="AF33" s="6"/>
      <c r="AG33" s="6"/>
      <c r="AH33" s="8">
        <v>0</v>
      </c>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8">
        <v>13.15</v>
      </c>
      <c r="BM33" s="6"/>
      <c r="BN33" s="6"/>
      <c r="BO33" s="8">
        <v>95.5</v>
      </c>
      <c r="BP33" s="6"/>
      <c r="BQ33" s="6"/>
      <c r="BR33" s="8">
        <v>95.5</v>
      </c>
      <c r="BS33" s="8">
        <v>95.5</v>
      </c>
      <c r="BT33" s="6"/>
      <c r="BU33" s="6"/>
      <c r="BV33" s="6"/>
      <c r="BW33" s="6"/>
      <c r="BX33" s="6"/>
      <c r="BY33" s="6"/>
      <c r="BZ33" s="6"/>
      <c r="CA33" s="6"/>
      <c r="CB33" s="6"/>
      <c r="CC33" s="6"/>
      <c r="CD33" s="6"/>
      <c r="CE33" s="6"/>
      <c r="CF33" s="6"/>
      <c r="CG33" s="9">
        <v>108.65</v>
      </c>
    </row>
    <row r="34" spans="1:85" x14ac:dyDescent="0.3">
      <c r="A34" s="3" t="str">
        <f t="shared" si="2"/>
        <v>ADDDiscoveryIndustry/University Cooperative Research Centers (I/UCRC)Total</v>
      </c>
      <c r="B34" s="6" t="s">
        <v>81</v>
      </c>
      <c r="C34" s="6" t="s">
        <v>82</v>
      </c>
      <c r="D34" s="6" t="s">
        <v>114</v>
      </c>
      <c r="E34" s="6" t="s">
        <v>24</v>
      </c>
      <c r="F34" s="6"/>
      <c r="G34" s="6"/>
      <c r="H34" s="6"/>
      <c r="I34" s="6"/>
      <c r="J34" s="8">
        <v>0.26</v>
      </c>
      <c r="K34" s="6"/>
      <c r="L34" s="8">
        <v>0.26</v>
      </c>
      <c r="M34" s="6"/>
      <c r="N34" s="6"/>
      <c r="O34" s="6"/>
      <c r="P34" s="8">
        <v>8</v>
      </c>
      <c r="Q34" s="6"/>
      <c r="R34" s="6"/>
      <c r="S34" s="8">
        <v>8</v>
      </c>
      <c r="T34" s="6"/>
      <c r="U34" s="6"/>
      <c r="V34" s="6"/>
      <c r="W34" s="8">
        <v>13.6</v>
      </c>
      <c r="X34" s="6"/>
      <c r="Y34" s="8">
        <v>0</v>
      </c>
      <c r="Z34" s="6"/>
      <c r="AA34" s="8">
        <v>13.6</v>
      </c>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8">
        <v>21.86</v>
      </c>
      <c r="BM34" s="6"/>
      <c r="BN34" s="6"/>
      <c r="BO34" s="6"/>
      <c r="BP34" s="6"/>
      <c r="BQ34" s="6"/>
      <c r="BR34" s="6"/>
      <c r="BS34" s="6"/>
      <c r="BT34" s="6"/>
      <c r="BU34" s="6"/>
      <c r="BV34" s="6"/>
      <c r="BW34" s="6"/>
      <c r="BX34" s="6"/>
      <c r="BY34" s="6"/>
      <c r="BZ34" s="6"/>
      <c r="CA34" s="6"/>
      <c r="CB34" s="6"/>
      <c r="CC34" s="6"/>
      <c r="CD34" s="6"/>
      <c r="CE34" s="6"/>
      <c r="CF34" s="6"/>
      <c r="CG34" s="9">
        <v>21.86</v>
      </c>
    </row>
    <row r="35" spans="1:85" x14ac:dyDescent="0.3">
      <c r="A35" s="3" t="str">
        <f t="shared" si="2"/>
        <v>ADDDiscoveryLong-Term Ecological Research (LTER)Total</v>
      </c>
      <c r="B35" s="6" t="s">
        <v>81</v>
      </c>
      <c r="C35" s="6" t="s">
        <v>82</v>
      </c>
      <c r="D35" s="6" t="s">
        <v>115</v>
      </c>
      <c r="E35" s="6" t="s">
        <v>24</v>
      </c>
      <c r="F35" s="6"/>
      <c r="G35" s="8">
        <v>22.5</v>
      </c>
      <c r="H35" s="6"/>
      <c r="I35" s="6"/>
      <c r="J35" s="6"/>
      <c r="K35" s="6"/>
      <c r="L35" s="8">
        <v>22.5</v>
      </c>
      <c r="M35" s="6"/>
      <c r="N35" s="6"/>
      <c r="O35" s="6"/>
      <c r="P35" s="6"/>
      <c r="Q35" s="6"/>
      <c r="R35" s="6"/>
      <c r="S35" s="6"/>
      <c r="T35" s="6"/>
      <c r="U35" s="6"/>
      <c r="V35" s="6"/>
      <c r="W35" s="6"/>
      <c r="X35" s="6"/>
      <c r="Y35" s="6"/>
      <c r="Z35" s="6"/>
      <c r="AA35" s="6"/>
      <c r="AB35" s="6"/>
      <c r="AC35" s="6"/>
      <c r="AD35" s="8">
        <v>8</v>
      </c>
      <c r="AE35" s="8">
        <v>3.38</v>
      </c>
      <c r="AF35" s="6"/>
      <c r="AG35" s="6"/>
      <c r="AH35" s="8">
        <v>11.38</v>
      </c>
      <c r="AI35" s="6"/>
      <c r="AJ35" s="6"/>
      <c r="AK35" s="6"/>
      <c r="AL35" s="6"/>
      <c r="AM35" s="6"/>
      <c r="AN35" s="6"/>
      <c r="AO35" s="6"/>
      <c r="AP35" s="6"/>
      <c r="AQ35" s="8">
        <v>0.26</v>
      </c>
      <c r="AR35" s="6"/>
      <c r="AS35" s="6"/>
      <c r="AT35" s="6"/>
      <c r="AU35" s="6"/>
      <c r="AV35" s="8">
        <v>0.26</v>
      </c>
      <c r="AW35" s="6"/>
      <c r="AX35" s="6"/>
      <c r="AY35" s="6"/>
      <c r="AZ35" s="6"/>
      <c r="BA35" s="6"/>
      <c r="BB35" s="6"/>
      <c r="BC35" s="6"/>
      <c r="BD35" s="6"/>
      <c r="BE35" s="6"/>
      <c r="BF35" s="6"/>
      <c r="BG35" s="6"/>
      <c r="BH35" s="6"/>
      <c r="BI35" s="6"/>
      <c r="BJ35" s="6"/>
      <c r="BK35" s="6"/>
      <c r="BL35" s="8">
        <v>34.14</v>
      </c>
      <c r="BM35" s="6"/>
      <c r="BN35" s="6"/>
      <c r="BO35" s="6"/>
      <c r="BP35" s="6"/>
      <c r="BQ35" s="6"/>
      <c r="BR35" s="6"/>
      <c r="BS35" s="6"/>
      <c r="BT35" s="6"/>
      <c r="BU35" s="6"/>
      <c r="BV35" s="6"/>
      <c r="BW35" s="6"/>
      <c r="BX35" s="6"/>
      <c r="BY35" s="6"/>
      <c r="BZ35" s="6"/>
      <c r="CA35" s="6"/>
      <c r="CB35" s="6"/>
      <c r="CC35" s="6"/>
      <c r="CD35" s="6"/>
      <c r="CE35" s="6"/>
      <c r="CF35" s="6"/>
      <c r="CG35" s="9">
        <v>34.14</v>
      </c>
    </row>
    <row r="36" spans="1:85" x14ac:dyDescent="0.3">
      <c r="A36" s="3" t="str">
        <f t="shared" si="2"/>
        <v>ADDDiscoveryMaterials CentersTotal</v>
      </c>
      <c r="B36" s="6" t="s">
        <v>81</v>
      </c>
      <c r="C36" s="6" t="s">
        <v>82</v>
      </c>
      <c r="D36" s="6" t="s">
        <v>116</v>
      </c>
      <c r="E36" s="6" t="s">
        <v>24</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8">
        <v>56.8</v>
      </c>
      <c r="AL36" s="6"/>
      <c r="AM36" s="6"/>
      <c r="AN36" s="6"/>
      <c r="AO36" s="6"/>
      <c r="AP36" s="8">
        <v>56.8</v>
      </c>
      <c r="AQ36" s="6"/>
      <c r="AR36" s="6"/>
      <c r="AS36" s="6"/>
      <c r="AT36" s="6"/>
      <c r="AU36" s="6"/>
      <c r="AV36" s="6"/>
      <c r="AW36" s="6"/>
      <c r="AX36" s="6"/>
      <c r="AY36" s="6"/>
      <c r="AZ36" s="6"/>
      <c r="BA36" s="6"/>
      <c r="BB36" s="6"/>
      <c r="BC36" s="6"/>
      <c r="BD36" s="6"/>
      <c r="BE36" s="6"/>
      <c r="BF36" s="6"/>
      <c r="BG36" s="6"/>
      <c r="BH36" s="6"/>
      <c r="BI36" s="6"/>
      <c r="BJ36" s="6"/>
      <c r="BK36" s="6"/>
      <c r="BL36" s="8">
        <v>56.8</v>
      </c>
      <c r="BM36" s="6"/>
      <c r="BN36" s="6"/>
      <c r="BO36" s="6"/>
      <c r="BP36" s="6"/>
      <c r="BQ36" s="6"/>
      <c r="BR36" s="6"/>
      <c r="BS36" s="6"/>
      <c r="BT36" s="6"/>
      <c r="BU36" s="6"/>
      <c r="BV36" s="6"/>
      <c r="BW36" s="6"/>
      <c r="BX36" s="6"/>
      <c r="BY36" s="6"/>
      <c r="BZ36" s="6"/>
      <c r="CA36" s="6"/>
      <c r="CB36" s="6"/>
      <c r="CC36" s="6"/>
      <c r="CD36" s="6"/>
      <c r="CE36" s="6"/>
      <c r="CF36" s="6"/>
      <c r="CG36" s="9">
        <v>56.8</v>
      </c>
    </row>
    <row r="37" spans="1:85" x14ac:dyDescent="0.3">
      <c r="A37" s="3" t="str">
        <f t="shared" si="2"/>
        <v>ADDDiscoveryNational Center for Wireless Spectrum Research (SII-Center)Total</v>
      </c>
      <c r="B37" s="6" t="s">
        <v>81</v>
      </c>
      <c r="C37" s="6" t="s">
        <v>82</v>
      </c>
      <c r="D37" s="6" t="s">
        <v>117</v>
      </c>
      <c r="E37" s="6" t="s">
        <v>24</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8">
        <v>5</v>
      </c>
      <c r="AN37" s="6"/>
      <c r="AO37" s="6"/>
      <c r="AP37" s="8">
        <v>5</v>
      </c>
      <c r="AQ37" s="6"/>
      <c r="AR37" s="6"/>
      <c r="AS37" s="6"/>
      <c r="AT37" s="6"/>
      <c r="AU37" s="6"/>
      <c r="AV37" s="6"/>
      <c r="AW37" s="6"/>
      <c r="AX37" s="6"/>
      <c r="AY37" s="6"/>
      <c r="AZ37" s="6"/>
      <c r="BA37" s="6"/>
      <c r="BB37" s="6"/>
      <c r="BC37" s="6"/>
      <c r="BD37" s="6"/>
      <c r="BE37" s="6"/>
      <c r="BF37" s="6"/>
      <c r="BG37" s="6"/>
      <c r="BH37" s="6"/>
      <c r="BI37" s="6"/>
      <c r="BJ37" s="6"/>
      <c r="BK37" s="6"/>
      <c r="BL37" s="8">
        <v>5</v>
      </c>
      <c r="BM37" s="6"/>
      <c r="BN37" s="6"/>
      <c r="BO37" s="6"/>
      <c r="BP37" s="6"/>
      <c r="BQ37" s="6"/>
      <c r="BR37" s="6"/>
      <c r="BS37" s="6"/>
      <c r="BT37" s="6"/>
      <c r="BU37" s="6"/>
      <c r="BV37" s="6"/>
      <c r="BW37" s="6"/>
      <c r="BX37" s="6"/>
      <c r="BY37" s="6"/>
      <c r="BZ37" s="6"/>
      <c r="CA37" s="6"/>
      <c r="CB37" s="6"/>
      <c r="CC37" s="6"/>
      <c r="CD37" s="6"/>
      <c r="CE37" s="6"/>
      <c r="CF37" s="6"/>
      <c r="CG37" s="9">
        <v>5</v>
      </c>
    </row>
    <row r="38" spans="1:85" x14ac:dyDescent="0.3">
      <c r="A38" s="3" t="str">
        <f t="shared" si="2"/>
        <v>ADDDiscoveryNational Coordinating Office for NITRD (NCO)Total</v>
      </c>
      <c r="B38" s="6" t="s">
        <v>81</v>
      </c>
      <c r="C38" s="6" t="s">
        <v>82</v>
      </c>
      <c r="D38" s="6" t="s">
        <v>118</v>
      </c>
      <c r="E38" s="6" t="s">
        <v>24</v>
      </c>
      <c r="F38" s="6"/>
      <c r="G38" s="6"/>
      <c r="H38" s="6"/>
      <c r="I38" s="6"/>
      <c r="J38" s="6"/>
      <c r="K38" s="6"/>
      <c r="L38" s="6"/>
      <c r="M38" s="6"/>
      <c r="N38" s="6"/>
      <c r="O38" s="6"/>
      <c r="P38" s="6"/>
      <c r="Q38" s="8">
        <v>0</v>
      </c>
      <c r="R38" s="6"/>
      <c r="S38" s="8">
        <v>0</v>
      </c>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8">
        <v>0</v>
      </c>
      <c r="BM38" s="6"/>
      <c r="BN38" s="6"/>
      <c r="BO38" s="6"/>
      <c r="BP38" s="6"/>
      <c r="BQ38" s="6"/>
      <c r="BR38" s="6"/>
      <c r="BS38" s="6"/>
      <c r="BT38" s="6"/>
      <c r="BU38" s="6"/>
      <c r="BV38" s="6"/>
      <c r="BW38" s="6"/>
      <c r="BX38" s="6"/>
      <c r="BY38" s="6"/>
      <c r="BZ38" s="6"/>
      <c r="CA38" s="6"/>
      <c r="CB38" s="6"/>
      <c r="CC38" s="6"/>
      <c r="CD38" s="6"/>
      <c r="CE38" s="6"/>
      <c r="CF38" s="6"/>
      <c r="CG38" s="9">
        <v>0</v>
      </c>
    </row>
    <row r="39" spans="1:85" x14ac:dyDescent="0.3">
      <c r="A39" s="3" t="str">
        <f t="shared" si="2"/>
        <v>ADDDiscoveryNational Nanotechnology Coordinating Office (NNCO)Total</v>
      </c>
      <c r="B39" s="6" t="s">
        <v>81</v>
      </c>
      <c r="C39" s="6" t="s">
        <v>82</v>
      </c>
      <c r="D39" s="6" t="s">
        <v>119</v>
      </c>
      <c r="E39" s="6" t="s">
        <v>24</v>
      </c>
      <c r="F39" s="6"/>
      <c r="G39" s="6"/>
      <c r="H39" s="8">
        <v>0.09</v>
      </c>
      <c r="I39" s="6"/>
      <c r="J39" s="6"/>
      <c r="K39" s="6"/>
      <c r="L39" s="8">
        <v>0.09</v>
      </c>
      <c r="M39" s="6"/>
      <c r="N39" s="6"/>
      <c r="O39" s="6"/>
      <c r="P39" s="6"/>
      <c r="Q39" s="6"/>
      <c r="R39" s="6"/>
      <c r="S39" s="6"/>
      <c r="T39" s="6"/>
      <c r="U39" s="6"/>
      <c r="V39" s="6"/>
      <c r="W39" s="6"/>
      <c r="X39" s="6"/>
      <c r="Y39" s="6"/>
      <c r="Z39" s="6"/>
      <c r="AA39" s="6"/>
      <c r="AB39" s="6"/>
      <c r="AC39" s="6"/>
      <c r="AD39" s="6"/>
      <c r="AE39" s="6"/>
      <c r="AF39" s="8">
        <v>0</v>
      </c>
      <c r="AG39" s="6"/>
      <c r="AH39" s="8">
        <v>0</v>
      </c>
      <c r="AI39" s="6"/>
      <c r="AJ39" s="6"/>
      <c r="AK39" s="6"/>
      <c r="AL39" s="6"/>
      <c r="AM39" s="8">
        <v>0</v>
      </c>
      <c r="AN39" s="6"/>
      <c r="AO39" s="6"/>
      <c r="AP39" s="8">
        <v>0</v>
      </c>
      <c r="AQ39" s="6"/>
      <c r="AR39" s="6"/>
      <c r="AS39" s="6"/>
      <c r="AT39" s="6"/>
      <c r="AU39" s="6"/>
      <c r="AV39" s="6"/>
      <c r="AW39" s="6"/>
      <c r="AX39" s="6"/>
      <c r="AY39" s="6"/>
      <c r="AZ39" s="6"/>
      <c r="BA39" s="6"/>
      <c r="BB39" s="6"/>
      <c r="BC39" s="8">
        <v>0</v>
      </c>
      <c r="BD39" s="8">
        <v>0</v>
      </c>
      <c r="BE39" s="6"/>
      <c r="BF39" s="6"/>
      <c r="BG39" s="6"/>
      <c r="BH39" s="6"/>
      <c r="BI39" s="6"/>
      <c r="BJ39" s="6"/>
      <c r="BK39" s="6"/>
      <c r="BL39" s="8">
        <v>0.09</v>
      </c>
      <c r="BM39" s="6"/>
      <c r="BN39" s="6"/>
      <c r="BO39" s="6"/>
      <c r="BP39" s="6"/>
      <c r="BQ39" s="6"/>
      <c r="BR39" s="6"/>
      <c r="BS39" s="6"/>
      <c r="BT39" s="6"/>
      <c r="BU39" s="6"/>
      <c r="BV39" s="6"/>
      <c r="BW39" s="6"/>
      <c r="BX39" s="6"/>
      <c r="BY39" s="6"/>
      <c r="BZ39" s="6"/>
      <c r="CA39" s="6"/>
      <c r="CB39" s="6"/>
      <c r="CC39" s="6"/>
      <c r="CD39" s="6"/>
      <c r="CE39" s="6"/>
      <c r="CF39" s="6"/>
      <c r="CG39" s="9">
        <v>0.09</v>
      </c>
    </row>
    <row r="40" spans="1:85" x14ac:dyDescent="0.3">
      <c r="A40" s="3" t="str">
        <f t="shared" si="2"/>
        <v>ADDDiscoveryNavigating the New Arctic (NNA)Total</v>
      </c>
      <c r="B40" s="6" t="s">
        <v>81</v>
      </c>
      <c r="C40" s="6" t="s">
        <v>82</v>
      </c>
      <c r="D40" s="6" t="s">
        <v>89</v>
      </c>
      <c r="E40" s="6" t="s">
        <v>24</v>
      </c>
      <c r="F40" s="6"/>
      <c r="G40" s="6"/>
      <c r="H40" s="6"/>
      <c r="I40" s="6"/>
      <c r="J40" s="6"/>
      <c r="K40" s="6"/>
      <c r="L40" s="6"/>
      <c r="M40" s="6"/>
      <c r="N40" s="6"/>
      <c r="O40" s="6"/>
      <c r="P40" s="6"/>
      <c r="Q40" s="6"/>
      <c r="R40" s="6"/>
      <c r="S40" s="6"/>
      <c r="T40" s="6"/>
      <c r="U40" s="6"/>
      <c r="V40" s="6"/>
      <c r="W40" s="6"/>
      <c r="X40" s="6"/>
      <c r="Y40" s="6"/>
      <c r="Z40" s="6"/>
      <c r="AA40" s="6"/>
      <c r="AB40" s="6"/>
      <c r="AC40" s="6"/>
      <c r="AD40" s="6"/>
      <c r="AE40" s="6"/>
      <c r="AF40" s="8">
        <v>30</v>
      </c>
      <c r="AG40" s="6"/>
      <c r="AH40" s="8">
        <v>30</v>
      </c>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8">
        <v>30</v>
      </c>
      <c r="BM40" s="6"/>
      <c r="BN40" s="6"/>
      <c r="BO40" s="6"/>
      <c r="BP40" s="6"/>
      <c r="BQ40" s="6"/>
      <c r="BR40" s="6"/>
      <c r="BS40" s="6"/>
      <c r="BT40" s="6"/>
      <c r="BU40" s="6"/>
      <c r="BV40" s="6"/>
      <c r="BW40" s="6"/>
      <c r="BX40" s="6"/>
      <c r="BY40" s="6"/>
      <c r="BZ40" s="6"/>
      <c r="CA40" s="6"/>
      <c r="CB40" s="6"/>
      <c r="CC40" s="6"/>
      <c r="CD40" s="6"/>
      <c r="CE40" s="6"/>
      <c r="CF40" s="6"/>
      <c r="CG40" s="9">
        <v>30</v>
      </c>
    </row>
    <row r="41" spans="1:85" x14ac:dyDescent="0.3">
      <c r="A41" s="3" t="str">
        <f t="shared" si="2"/>
        <v>ADDDiscoveryNSF INCLUDESTotal</v>
      </c>
      <c r="B41" s="6" t="s">
        <v>81</v>
      </c>
      <c r="C41" s="6" t="s">
        <v>82</v>
      </c>
      <c r="D41" s="6" t="s">
        <v>91</v>
      </c>
      <c r="E41" s="6" t="s">
        <v>24</v>
      </c>
      <c r="F41" s="6"/>
      <c r="G41" s="6"/>
      <c r="H41" s="6"/>
      <c r="I41" s="6"/>
      <c r="J41" s="6"/>
      <c r="K41" s="6"/>
      <c r="L41" s="6"/>
      <c r="M41" s="6"/>
      <c r="N41" s="8">
        <v>0</v>
      </c>
      <c r="O41" s="6"/>
      <c r="P41" s="8">
        <v>0</v>
      </c>
      <c r="Q41" s="6"/>
      <c r="R41" s="6"/>
      <c r="S41" s="8">
        <v>0</v>
      </c>
      <c r="T41" s="6"/>
      <c r="U41" s="6"/>
      <c r="V41" s="6"/>
      <c r="W41" s="8">
        <v>0</v>
      </c>
      <c r="X41" s="6"/>
      <c r="Y41" s="6"/>
      <c r="Z41" s="6"/>
      <c r="AA41" s="8">
        <v>0</v>
      </c>
      <c r="AB41" s="6"/>
      <c r="AC41" s="6"/>
      <c r="AD41" s="6"/>
      <c r="AE41" s="6"/>
      <c r="AF41" s="8">
        <v>0</v>
      </c>
      <c r="AG41" s="6"/>
      <c r="AH41" s="8">
        <v>0</v>
      </c>
      <c r="AI41" s="6"/>
      <c r="AJ41" s="6"/>
      <c r="AK41" s="6"/>
      <c r="AL41" s="6"/>
      <c r="AM41" s="8">
        <v>0</v>
      </c>
      <c r="AN41" s="6"/>
      <c r="AO41" s="6"/>
      <c r="AP41" s="8">
        <v>0</v>
      </c>
      <c r="AQ41" s="8">
        <v>0</v>
      </c>
      <c r="AR41" s="6"/>
      <c r="AS41" s="6"/>
      <c r="AT41" s="8">
        <v>0</v>
      </c>
      <c r="AU41" s="6"/>
      <c r="AV41" s="8">
        <v>0</v>
      </c>
      <c r="AW41" s="6"/>
      <c r="AX41" s="6"/>
      <c r="AY41" s="6"/>
      <c r="AZ41" s="6"/>
      <c r="BA41" s="6"/>
      <c r="BB41" s="6"/>
      <c r="BC41" s="6"/>
      <c r="BD41" s="6"/>
      <c r="BE41" s="6"/>
      <c r="BF41" s="8">
        <v>0</v>
      </c>
      <c r="BG41" s="8">
        <v>0</v>
      </c>
      <c r="BH41" s="6"/>
      <c r="BI41" s="6"/>
      <c r="BJ41" s="6"/>
      <c r="BK41" s="6"/>
      <c r="BL41" s="8">
        <v>0</v>
      </c>
      <c r="BM41" s="8">
        <v>0</v>
      </c>
      <c r="BN41" s="6"/>
      <c r="BO41" s="6"/>
      <c r="BP41" s="8">
        <v>50.5</v>
      </c>
      <c r="BQ41" s="6"/>
      <c r="BR41" s="8">
        <v>50.5</v>
      </c>
      <c r="BS41" s="8">
        <v>50.5</v>
      </c>
      <c r="BT41" s="6"/>
      <c r="BU41" s="6"/>
      <c r="BV41" s="6"/>
      <c r="BW41" s="6"/>
      <c r="BX41" s="6"/>
      <c r="BY41" s="6"/>
      <c r="BZ41" s="6"/>
      <c r="CA41" s="6"/>
      <c r="CB41" s="6"/>
      <c r="CC41" s="6"/>
      <c r="CD41" s="6"/>
      <c r="CE41" s="6"/>
      <c r="CF41" s="6"/>
      <c r="CG41" s="9">
        <v>50.5</v>
      </c>
    </row>
    <row r="42" spans="1:85" x14ac:dyDescent="0.3">
      <c r="A42" s="3" t="str">
        <f t="shared" si="2"/>
        <v>ADDDiscoveryNSF Innovation Corps (I-Corps)Total</v>
      </c>
      <c r="B42" s="6" t="s">
        <v>81</v>
      </c>
      <c r="C42" s="6" t="s">
        <v>82</v>
      </c>
      <c r="D42" s="6" t="s">
        <v>120</v>
      </c>
      <c r="E42" s="6" t="s">
        <v>24</v>
      </c>
      <c r="F42" s="6"/>
      <c r="G42" s="6"/>
      <c r="H42" s="8">
        <v>0</v>
      </c>
      <c r="I42" s="6"/>
      <c r="J42" s="6"/>
      <c r="K42" s="6"/>
      <c r="L42" s="8">
        <v>0</v>
      </c>
      <c r="M42" s="6"/>
      <c r="N42" s="6"/>
      <c r="O42" s="6"/>
      <c r="P42" s="8">
        <v>0</v>
      </c>
      <c r="Q42" s="6"/>
      <c r="R42" s="6"/>
      <c r="S42" s="8">
        <v>0</v>
      </c>
      <c r="T42" s="6"/>
      <c r="U42" s="6"/>
      <c r="V42" s="6"/>
      <c r="W42" s="6"/>
      <c r="X42" s="6"/>
      <c r="Y42" s="8">
        <v>0</v>
      </c>
      <c r="Z42" s="6"/>
      <c r="AA42" s="8">
        <v>0</v>
      </c>
      <c r="AB42" s="6"/>
      <c r="AC42" s="6"/>
      <c r="AD42" s="6"/>
      <c r="AE42" s="8">
        <v>0</v>
      </c>
      <c r="AF42" s="8">
        <v>0</v>
      </c>
      <c r="AG42" s="6"/>
      <c r="AH42" s="8">
        <v>0</v>
      </c>
      <c r="AI42" s="6"/>
      <c r="AJ42" s="6"/>
      <c r="AK42" s="6"/>
      <c r="AL42" s="8">
        <v>0</v>
      </c>
      <c r="AM42" s="8">
        <v>0</v>
      </c>
      <c r="AN42" s="6"/>
      <c r="AO42" s="6"/>
      <c r="AP42" s="8">
        <v>0</v>
      </c>
      <c r="AQ42" s="6"/>
      <c r="AR42" s="6"/>
      <c r="AS42" s="8">
        <v>0</v>
      </c>
      <c r="AT42" s="6"/>
      <c r="AU42" s="6"/>
      <c r="AV42" s="8">
        <v>0</v>
      </c>
      <c r="AW42" s="6"/>
      <c r="AX42" s="6"/>
      <c r="AY42" s="6"/>
      <c r="AZ42" s="8">
        <v>40</v>
      </c>
      <c r="BA42" s="6"/>
      <c r="BB42" s="8">
        <v>40</v>
      </c>
      <c r="BC42" s="6"/>
      <c r="BD42" s="6"/>
      <c r="BE42" s="6"/>
      <c r="BF42" s="6"/>
      <c r="BG42" s="6"/>
      <c r="BH42" s="6"/>
      <c r="BI42" s="6"/>
      <c r="BJ42" s="6"/>
      <c r="BK42" s="6"/>
      <c r="BL42" s="8">
        <v>40</v>
      </c>
      <c r="BM42" s="8">
        <v>0</v>
      </c>
      <c r="BN42" s="6"/>
      <c r="BO42" s="8">
        <v>0</v>
      </c>
      <c r="BP42" s="6"/>
      <c r="BQ42" s="6"/>
      <c r="BR42" s="8">
        <v>0</v>
      </c>
      <c r="BS42" s="8">
        <v>0</v>
      </c>
      <c r="BT42" s="6"/>
      <c r="BU42" s="6"/>
      <c r="BV42" s="6"/>
      <c r="BW42" s="6"/>
      <c r="BX42" s="6"/>
      <c r="BY42" s="6"/>
      <c r="BZ42" s="6"/>
      <c r="CA42" s="6"/>
      <c r="CB42" s="6"/>
      <c r="CC42" s="6"/>
      <c r="CD42" s="6"/>
      <c r="CE42" s="6"/>
      <c r="CF42" s="6"/>
      <c r="CG42" s="9">
        <v>40</v>
      </c>
    </row>
    <row r="43" spans="1:85" x14ac:dyDescent="0.3">
      <c r="A43" s="3" t="str">
        <f t="shared" si="2"/>
        <v>ADDDiscoveryNSF Regional Innovation Engines (NSF Engines)Total</v>
      </c>
      <c r="B43" s="6" t="s">
        <v>81</v>
      </c>
      <c r="C43" s="6" t="s">
        <v>82</v>
      </c>
      <c r="D43" s="6" t="s">
        <v>121</v>
      </c>
      <c r="E43" s="6" t="s">
        <v>24</v>
      </c>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8">
        <v>150</v>
      </c>
      <c r="AX43" s="6"/>
      <c r="AY43" s="8">
        <v>50</v>
      </c>
      <c r="AZ43" s="6"/>
      <c r="BA43" s="6"/>
      <c r="BB43" s="8">
        <v>200</v>
      </c>
      <c r="BC43" s="6"/>
      <c r="BD43" s="6"/>
      <c r="BE43" s="6"/>
      <c r="BF43" s="6"/>
      <c r="BG43" s="6"/>
      <c r="BH43" s="6"/>
      <c r="BI43" s="6"/>
      <c r="BJ43" s="6"/>
      <c r="BK43" s="6"/>
      <c r="BL43" s="8">
        <v>200</v>
      </c>
      <c r="BM43" s="6"/>
      <c r="BN43" s="6"/>
      <c r="BO43" s="6"/>
      <c r="BP43" s="6"/>
      <c r="BQ43" s="6"/>
      <c r="BR43" s="6"/>
      <c r="BS43" s="6"/>
      <c r="BT43" s="6"/>
      <c r="BU43" s="6"/>
      <c r="BV43" s="6"/>
      <c r="BW43" s="6"/>
      <c r="BX43" s="6"/>
      <c r="BY43" s="6"/>
      <c r="BZ43" s="6"/>
      <c r="CA43" s="6"/>
      <c r="CB43" s="6"/>
      <c r="CC43" s="6"/>
      <c r="CD43" s="6"/>
      <c r="CE43" s="6"/>
      <c r="CF43" s="6"/>
      <c r="CG43" s="9">
        <v>200</v>
      </c>
    </row>
    <row r="44" spans="1:85" x14ac:dyDescent="0.3">
      <c r="A44" s="3" t="str">
        <f t="shared" si="2"/>
        <v>ADDDiscoveryPartnerships for Innovation (PFI)Total</v>
      </c>
      <c r="B44" s="6" t="s">
        <v>81</v>
      </c>
      <c r="C44" s="6" t="s">
        <v>82</v>
      </c>
      <c r="D44" s="6" t="s">
        <v>122</v>
      </c>
      <c r="E44" s="6" t="s">
        <v>24</v>
      </c>
      <c r="F44" s="6"/>
      <c r="G44" s="6"/>
      <c r="H44" s="6"/>
      <c r="I44" s="6"/>
      <c r="J44" s="6"/>
      <c r="K44" s="6"/>
      <c r="L44" s="6"/>
      <c r="M44" s="6"/>
      <c r="N44" s="8">
        <v>0</v>
      </c>
      <c r="O44" s="6"/>
      <c r="P44" s="6"/>
      <c r="Q44" s="6"/>
      <c r="R44" s="6"/>
      <c r="S44" s="8">
        <v>0</v>
      </c>
      <c r="T44" s="6"/>
      <c r="U44" s="6"/>
      <c r="V44" s="6"/>
      <c r="W44" s="6"/>
      <c r="X44" s="6"/>
      <c r="Y44" s="8">
        <v>0</v>
      </c>
      <c r="Z44" s="6"/>
      <c r="AA44" s="8">
        <v>0</v>
      </c>
      <c r="AB44" s="6"/>
      <c r="AC44" s="6"/>
      <c r="AD44" s="6"/>
      <c r="AE44" s="6"/>
      <c r="AF44" s="6"/>
      <c r="AG44" s="6"/>
      <c r="AH44" s="6"/>
      <c r="AI44" s="6"/>
      <c r="AJ44" s="6"/>
      <c r="AK44" s="6"/>
      <c r="AL44" s="6"/>
      <c r="AM44" s="6"/>
      <c r="AN44" s="6"/>
      <c r="AO44" s="6"/>
      <c r="AP44" s="6"/>
      <c r="AQ44" s="6"/>
      <c r="AR44" s="6"/>
      <c r="AS44" s="6"/>
      <c r="AT44" s="6"/>
      <c r="AU44" s="6"/>
      <c r="AV44" s="6"/>
      <c r="AW44" s="6"/>
      <c r="AX44" s="6"/>
      <c r="AY44" s="6"/>
      <c r="AZ44" s="8">
        <v>30</v>
      </c>
      <c r="BA44" s="6"/>
      <c r="BB44" s="8">
        <v>30</v>
      </c>
      <c r="BC44" s="6"/>
      <c r="BD44" s="6"/>
      <c r="BE44" s="6"/>
      <c r="BF44" s="6"/>
      <c r="BG44" s="6"/>
      <c r="BH44" s="6"/>
      <c r="BI44" s="6"/>
      <c r="BJ44" s="6"/>
      <c r="BK44" s="6"/>
      <c r="BL44" s="8">
        <v>30</v>
      </c>
      <c r="BM44" s="6"/>
      <c r="BN44" s="6"/>
      <c r="BO44" s="6"/>
      <c r="BP44" s="6"/>
      <c r="BQ44" s="6"/>
      <c r="BR44" s="6"/>
      <c r="BS44" s="6"/>
      <c r="BT44" s="6"/>
      <c r="BU44" s="6"/>
      <c r="BV44" s="6"/>
      <c r="BW44" s="6"/>
      <c r="BX44" s="6"/>
      <c r="BY44" s="6"/>
      <c r="BZ44" s="6"/>
      <c r="CA44" s="6"/>
      <c r="CB44" s="6"/>
      <c r="CC44" s="6"/>
      <c r="CD44" s="6"/>
      <c r="CE44" s="6"/>
      <c r="CF44" s="6"/>
      <c r="CG44" s="9">
        <v>30</v>
      </c>
    </row>
    <row r="45" spans="1:85" x14ac:dyDescent="0.3">
      <c r="A45" s="3" t="str">
        <f t="shared" si="2"/>
        <v>ADDDiscoveryQuantum Leap Challenge InstitutesTotal</v>
      </c>
      <c r="B45" s="6" t="s">
        <v>81</v>
      </c>
      <c r="C45" s="6" t="s">
        <v>82</v>
      </c>
      <c r="D45" s="6" t="s">
        <v>92</v>
      </c>
      <c r="E45" s="6" t="s">
        <v>24</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8">
        <v>32</v>
      </c>
      <c r="AN45" s="6"/>
      <c r="AO45" s="6"/>
      <c r="AP45" s="8">
        <v>32</v>
      </c>
      <c r="AQ45" s="6"/>
      <c r="AR45" s="6"/>
      <c r="AS45" s="6"/>
      <c r="AT45" s="6"/>
      <c r="AU45" s="6"/>
      <c r="AV45" s="6"/>
      <c r="AW45" s="6"/>
      <c r="AX45" s="6"/>
      <c r="AY45" s="6"/>
      <c r="AZ45" s="6"/>
      <c r="BA45" s="6"/>
      <c r="BB45" s="6"/>
      <c r="BC45" s="6"/>
      <c r="BD45" s="6"/>
      <c r="BE45" s="6"/>
      <c r="BF45" s="6"/>
      <c r="BG45" s="6"/>
      <c r="BH45" s="6"/>
      <c r="BI45" s="6"/>
      <c r="BJ45" s="6"/>
      <c r="BK45" s="6"/>
      <c r="BL45" s="8">
        <v>32</v>
      </c>
      <c r="BM45" s="6"/>
      <c r="BN45" s="6"/>
      <c r="BO45" s="6"/>
      <c r="BP45" s="6"/>
      <c r="BQ45" s="6"/>
      <c r="BR45" s="6"/>
      <c r="BS45" s="6"/>
      <c r="BT45" s="6"/>
      <c r="BU45" s="6"/>
      <c r="BV45" s="6"/>
      <c r="BW45" s="6"/>
      <c r="BX45" s="6"/>
      <c r="BY45" s="6"/>
      <c r="BZ45" s="6"/>
      <c r="CA45" s="6"/>
      <c r="CB45" s="6"/>
      <c r="CC45" s="6"/>
      <c r="CD45" s="6"/>
      <c r="CE45" s="6"/>
      <c r="CF45" s="6"/>
      <c r="CG45" s="9">
        <v>32</v>
      </c>
    </row>
    <row r="46" spans="1:85" x14ac:dyDescent="0.3">
      <c r="A46" s="3" t="str">
        <f t="shared" si="2"/>
        <v>ADDDiscoveryScience &amp; Technology CentersTotal</v>
      </c>
      <c r="B46" s="6" t="s">
        <v>81</v>
      </c>
      <c r="C46" s="6" t="s">
        <v>82</v>
      </c>
      <c r="D46" s="6" t="s">
        <v>123</v>
      </c>
      <c r="E46" s="6" t="s">
        <v>24</v>
      </c>
      <c r="F46" s="8">
        <v>10</v>
      </c>
      <c r="G46" s="6"/>
      <c r="H46" s="6"/>
      <c r="I46" s="6"/>
      <c r="J46" s="6"/>
      <c r="K46" s="6"/>
      <c r="L46" s="8">
        <v>10</v>
      </c>
      <c r="M46" s="6"/>
      <c r="N46" s="6"/>
      <c r="O46" s="6"/>
      <c r="P46" s="6"/>
      <c r="Q46" s="6"/>
      <c r="R46" s="6"/>
      <c r="S46" s="6"/>
      <c r="T46" s="8">
        <v>5</v>
      </c>
      <c r="U46" s="8">
        <v>5</v>
      </c>
      <c r="V46" s="6"/>
      <c r="W46" s="6"/>
      <c r="X46" s="6"/>
      <c r="Y46" s="6"/>
      <c r="Z46" s="6"/>
      <c r="AA46" s="8">
        <v>10</v>
      </c>
      <c r="AB46" s="8">
        <v>5</v>
      </c>
      <c r="AC46" s="6"/>
      <c r="AD46" s="8">
        <v>5</v>
      </c>
      <c r="AE46" s="8">
        <v>5</v>
      </c>
      <c r="AF46" s="6"/>
      <c r="AG46" s="6"/>
      <c r="AH46" s="8">
        <v>15</v>
      </c>
      <c r="AI46" s="6"/>
      <c r="AJ46" s="6"/>
      <c r="AK46" s="8">
        <v>10</v>
      </c>
      <c r="AL46" s="6"/>
      <c r="AM46" s="6"/>
      <c r="AN46" s="8">
        <v>5</v>
      </c>
      <c r="AO46" s="6"/>
      <c r="AP46" s="8">
        <v>15</v>
      </c>
      <c r="AQ46" s="6"/>
      <c r="AR46" s="6"/>
      <c r="AS46" s="6"/>
      <c r="AT46" s="6"/>
      <c r="AU46" s="6"/>
      <c r="AV46" s="6"/>
      <c r="AW46" s="6"/>
      <c r="AX46" s="6"/>
      <c r="AY46" s="6"/>
      <c r="AZ46" s="6"/>
      <c r="BA46" s="6"/>
      <c r="BB46" s="6"/>
      <c r="BC46" s="6"/>
      <c r="BD46" s="6"/>
      <c r="BE46" s="6"/>
      <c r="BF46" s="8">
        <v>27.6</v>
      </c>
      <c r="BG46" s="8">
        <v>27.6</v>
      </c>
      <c r="BH46" s="6"/>
      <c r="BI46" s="6"/>
      <c r="BJ46" s="6"/>
      <c r="BK46" s="6"/>
      <c r="BL46" s="8">
        <v>77.599999999999994</v>
      </c>
      <c r="BM46" s="6"/>
      <c r="BN46" s="6"/>
      <c r="BO46" s="6"/>
      <c r="BP46" s="6"/>
      <c r="BQ46" s="6"/>
      <c r="BR46" s="6"/>
      <c r="BS46" s="6"/>
      <c r="BT46" s="6"/>
      <c r="BU46" s="6"/>
      <c r="BV46" s="6"/>
      <c r="BW46" s="6"/>
      <c r="BX46" s="6"/>
      <c r="BY46" s="6"/>
      <c r="BZ46" s="6"/>
      <c r="CA46" s="6"/>
      <c r="CB46" s="6"/>
      <c r="CC46" s="6"/>
      <c r="CD46" s="6"/>
      <c r="CE46" s="6"/>
      <c r="CF46" s="6"/>
      <c r="CG46" s="9">
        <v>77.599999999999994</v>
      </c>
    </row>
    <row r="47" spans="1:85" x14ac:dyDescent="0.3">
      <c r="A47" s="3" t="str">
        <f t="shared" si="2"/>
        <v>ADDDiscoveryScience &amp; Technology CentersSTCs - 2013 Class</v>
      </c>
      <c r="B47" s="6" t="s">
        <v>81</v>
      </c>
      <c r="C47" s="6" t="s">
        <v>82</v>
      </c>
      <c r="D47" s="6" t="s">
        <v>123</v>
      </c>
      <c r="E47" s="6" t="s">
        <v>125</v>
      </c>
      <c r="F47" s="8">
        <v>0</v>
      </c>
      <c r="G47" s="6"/>
      <c r="H47" s="6"/>
      <c r="I47" s="6"/>
      <c r="J47" s="6"/>
      <c r="K47" s="6"/>
      <c r="L47" s="8">
        <v>0</v>
      </c>
      <c r="M47" s="6"/>
      <c r="N47" s="6"/>
      <c r="O47" s="6"/>
      <c r="P47" s="6"/>
      <c r="Q47" s="6"/>
      <c r="R47" s="6"/>
      <c r="S47" s="6"/>
      <c r="T47" s="6"/>
      <c r="U47" s="6"/>
      <c r="V47" s="6"/>
      <c r="W47" s="6"/>
      <c r="X47" s="6"/>
      <c r="Y47" s="6"/>
      <c r="Z47" s="6"/>
      <c r="AA47" s="6"/>
      <c r="AB47" s="6"/>
      <c r="AC47" s="6"/>
      <c r="AD47" s="6"/>
      <c r="AE47" s="6"/>
      <c r="AF47" s="6"/>
      <c r="AG47" s="6"/>
      <c r="AH47" s="6"/>
      <c r="AI47" s="6"/>
      <c r="AJ47" s="6"/>
      <c r="AK47" s="8">
        <v>0</v>
      </c>
      <c r="AL47" s="6"/>
      <c r="AM47" s="6"/>
      <c r="AN47" s="6"/>
      <c r="AO47" s="6"/>
      <c r="AP47" s="8">
        <v>0</v>
      </c>
      <c r="AQ47" s="6"/>
      <c r="AR47" s="6"/>
      <c r="AS47" s="6"/>
      <c r="AT47" s="6"/>
      <c r="AU47" s="6"/>
      <c r="AV47" s="6"/>
      <c r="AW47" s="6"/>
      <c r="AX47" s="6"/>
      <c r="AY47" s="6"/>
      <c r="AZ47" s="6"/>
      <c r="BA47" s="6"/>
      <c r="BB47" s="6"/>
      <c r="BC47" s="6"/>
      <c r="BD47" s="6"/>
      <c r="BE47" s="6"/>
      <c r="BF47" s="8">
        <v>0</v>
      </c>
      <c r="BG47" s="8">
        <v>0</v>
      </c>
      <c r="BH47" s="6"/>
      <c r="BI47" s="6"/>
      <c r="BJ47" s="6"/>
      <c r="BK47" s="6"/>
      <c r="BL47" s="8">
        <v>0</v>
      </c>
      <c r="BM47" s="6"/>
      <c r="BN47" s="6"/>
      <c r="BO47" s="6"/>
      <c r="BP47" s="6"/>
      <c r="BQ47" s="6"/>
      <c r="BR47" s="6"/>
      <c r="BS47" s="6"/>
      <c r="BT47" s="6"/>
      <c r="BU47" s="6"/>
      <c r="BV47" s="6"/>
      <c r="BW47" s="6"/>
      <c r="BX47" s="6"/>
      <c r="BY47" s="6"/>
      <c r="BZ47" s="6"/>
      <c r="CA47" s="6"/>
      <c r="CB47" s="6"/>
      <c r="CC47" s="6"/>
      <c r="CD47" s="6"/>
      <c r="CE47" s="6"/>
      <c r="CF47" s="6"/>
      <c r="CG47" s="9">
        <v>0</v>
      </c>
    </row>
    <row r="48" spans="1:85" x14ac:dyDescent="0.3">
      <c r="A48" s="3" t="str">
        <f t="shared" si="2"/>
        <v>ADDDiscoveryScience &amp; Technology CentersSTCs – 2016 Class</v>
      </c>
      <c r="B48" s="6" t="s">
        <v>81</v>
      </c>
      <c r="C48" s="6" t="s">
        <v>82</v>
      </c>
      <c r="D48" s="6" t="s">
        <v>123</v>
      </c>
      <c r="E48" s="6" t="s">
        <v>126</v>
      </c>
      <c r="F48" s="8">
        <v>5</v>
      </c>
      <c r="G48" s="6"/>
      <c r="H48" s="6"/>
      <c r="I48" s="6"/>
      <c r="J48" s="6"/>
      <c r="K48" s="6"/>
      <c r="L48" s="8">
        <v>5</v>
      </c>
      <c r="M48" s="6"/>
      <c r="N48" s="6"/>
      <c r="O48" s="6"/>
      <c r="P48" s="6"/>
      <c r="Q48" s="6"/>
      <c r="R48" s="6"/>
      <c r="S48" s="6"/>
      <c r="T48" s="6"/>
      <c r="U48" s="8">
        <v>5</v>
      </c>
      <c r="V48" s="6"/>
      <c r="W48" s="6"/>
      <c r="X48" s="6"/>
      <c r="Y48" s="6"/>
      <c r="Z48" s="6"/>
      <c r="AA48" s="8">
        <v>5</v>
      </c>
      <c r="AB48" s="6"/>
      <c r="AC48" s="6"/>
      <c r="AD48" s="6"/>
      <c r="AE48" s="6"/>
      <c r="AF48" s="6"/>
      <c r="AG48" s="6"/>
      <c r="AH48" s="6"/>
      <c r="AI48" s="6"/>
      <c r="AJ48" s="6"/>
      <c r="AK48" s="8">
        <v>5</v>
      </c>
      <c r="AL48" s="6"/>
      <c r="AM48" s="6"/>
      <c r="AN48" s="8">
        <v>5</v>
      </c>
      <c r="AO48" s="6"/>
      <c r="AP48" s="8">
        <v>10</v>
      </c>
      <c r="AQ48" s="6"/>
      <c r="AR48" s="6"/>
      <c r="AS48" s="6"/>
      <c r="AT48" s="6"/>
      <c r="AU48" s="6"/>
      <c r="AV48" s="6"/>
      <c r="AW48" s="6"/>
      <c r="AX48" s="6"/>
      <c r="AY48" s="6"/>
      <c r="AZ48" s="6"/>
      <c r="BA48" s="6"/>
      <c r="BB48" s="6"/>
      <c r="BC48" s="6"/>
      <c r="BD48" s="6"/>
      <c r="BE48" s="6"/>
      <c r="BF48" s="6"/>
      <c r="BG48" s="6"/>
      <c r="BH48" s="6"/>
      <c r="BI48" s="6"/>
      <c r="BJ48" s="6"/>
      <c r="BK48" s="6"/>
      <c r="BL48" s="8">
        <v>20</v>
      </c>
      <c r="BM48" s="6"/>
      <c r="BN48" s="6"/>
      <c r="BO48" s="6"/>
      <c r="BP48" s="6"/>
      <c r="BQ48" s="6"/>
      <c r="BR48" s="6"/>
      <c r="BS48" s="6"/>
      <c r="BT48" s="6"/>
      <c r="BU48" s="6"/>
      <c r="BV48" s="6"/>
      <c r="BW48" s="6"/>
      <c r="BX48" s="6"/>
      <c r="BY48" s="6"/>
      <c r="BZ48" s="6"/>
      <c r="CA48" s="6"/>
      <c r="CB48" s="6"/>
      <c r="CC48" s="6"/>
      <c r="CD48" s="6"/>
      <c r="CE48" s="6"/>
      <c r="CF48" s="6"/>
      <c r="CG48" s="9">
        <v>20</v>
      </c>
    </row>
    <row r="49" spans="1:85" x14ac:dyDescent="0.3">
      <c r="A49" s="3" t="str">
        <f t="shared" si="2"/>
        <v>ADDDiscoveryScience &amp; Technology CentersSTCs - 2021 Class</v>
      </c>
      <c r="B49" s="6" t="s">
        <v>81</v>
      </c>
      <c r="C49" s="6" t="s">
        <v>82</v>
      </c>
      <c r="D49" s="6" t="s">
        <v>123</v>
      </c>
      <c r="E49" s="6" t="s">
        <v>127</v>
      </c>
      <c r="F49" s="8">
        <v>5</v>
      </c>
      <c r="G49" s="6"/>
      <c r="H49" s="6"/>
      <c r="I49" s="6"/>
      <c r="J49" s="6"/>
      <c r="K49" s="6"/>
      <c r="L49" s="8">
        <v>5</v>
      </c>
      <c r="M49" s="6"/>
      <c r="N49" s="6"/>
      <c r="O49" s="6"/>
      <c r="P49" s="6"/>
      <c r="Q49" s="6"/>
      <c r="R49" s="6"/>
      <c r="S49" s="6"/>
      <c r="T49" s="8">
        <v>5</v>
      </c>
      <c r="U49" s="6"/>
      <c r="V49" s="6"/>
      <c r="W49" s="6"/>
      <c r="X49" s="6"/>
      <c r="Y49" s="6"/>
      <c r="Z49" s="6"/>
      <c r="AA49" s="8">
        <v>5</v>
      </c>
      <c r="AB49" s="8">
        <v>5</v>
      </c>
      <c r="AC49" s="6"/>
      <c r="AD49" s="8">
        <v>5</v>
      </c>
      <c r="AE49" s="8">
        <v>5</v>
      </c>
      <c r="AF49" s="6"/>
      <c r="AG49" s="6"/>
      <c r="AH49" s="8">
        <v>15</v>
      </c>
      <c r="AI49" s="6"/>
      <c r="AJ49" s="6"/>
      <c r="AK49" s="8">
        <v>5</v>
      </c>
      <c r="AL49" s="6"/>
      <c r="AM49" s="6"/>
      <c r="AN49" s="6"/>
      <c r="AO49" s="6"/>
      <c r="AP49" s="8">
        <v>5</v>
      </c>
      <c r="AQ49" s="6"/>
      <c r="AR49" s="6"/>
      <c r="AS49" s="6"/>
      <c r="AT49" s="6"/>
      <c r="AU49" s="6"/>
      <c r="AV49" s="6"/>
      <c r="AW49" s="6"/>
      <c r="AX49" s="6"/>
      <c r="AY49" s="6"/>
      <c r="AZ49" s="6"/>
      <c r="BA49" s="6"/>
      <c r="BB49" s="6"/>
      <c r="BC49" s="6"/>
      <c r="BD49" s="6"/>
      <c r="BE49" s="6"/>
      <c r="BF49" s="8">
        <v>0</v>
      </c>
      <c r="BG49" s="8">
        <v>0</v>
      </c>
      <c r="BH49" s="6"/>
      <c r="BI49" s="6"/>
      <c r="BJ49" s="6"/>
      <c r="BK49" s="6"/>
      <c r="BL49" s="8">
        <v>30</v>
      </c>
      <c r="BM49" s="6"/>
      <c r="BN49" s="6"/>
      <c r="BO49" s="6"/>
      <c r="BP49" s="6"/>
      <c r="BQ49" s="6"/>
      <c r="BR49" s="6"/>
      <c r="BS49" s="6"/>
      <c r="BT49" s="6"/>
      <c r="BU49" s="6"/>
      <c r="BV49" s="6"/>
      <c r="BW49" s="6"/>
      <c r="BX49" s="6"/>
      <c r="BY49" s="6"/>
      <c r="BZ49" s="6"/>
      <c r="CA49" s="6"/>
      <c r="CB49" s="6"/>
      <c r="CC49" s="6"/>
      <c r="CD49" s="6"/>
      <c r="CE49" s="6"/>
      <c r="CF49" s="6"/>
      <c r="CG49" s="9">
        <v>30</v>
      </c>
    </row>
    <row r="50" spans="1:85" x14ac:dyDescent="0.3">
      <c r="A50" s="3" t="str">
        <f t="shared" si="2"/>
        <v>ADDDiscoveryScience &amp; Technology CentersSTCs – 2023 Class</v>
      </c>
      <c r="B50" s="6" t="s">
        <v>81</v>
      </c>
      <c r="C50" s="6" t="s">
        <v>82</v>
      </c>
      <c r="D50" s="6" t="s">
        <v>123</v>
      </c>
      <c r="E50" s="6" t="s">
        <v>349</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8">
        <v>27</v>
      </c>
      <c r="BG50" s="8">
        <v>27</v>
      </c>
      <c r="BH50" s="6"/>
      <c r="BI50" s="6"/>
      <c r="BJ50" s="6"/>
      <c r="BK50" s="6"/>
      <c r="BL50" s="8">
        <v>27</v>
      </c>
      <c r="BM50" s="6"/>
      <c r="BN50" s="6"/>
      <c r="BO50" s="6"/>
      <c r="BP50" s="6"/>
      <c r="BQ50" s="6"/>
      <c r="BR50" s="6"/>
      <c r="BS50" s="6"/>
      <c r="BT50" s="6"/>
      <c r="BU50" s="6"/>
      <c r="BV50" s="6"/>
      <c r="BW50" s="6"/>
      <c r="BX50" s="6"/>
      <c r="BY50" s="6"/>
      <c r="BZ50" s="6"/>
      <c r="CA50" s="6"/>
      <c r="CB50" s="6"/>
      <c r="CC50" s="6"/>
      <c r="CD50" s="6"/>
      <c r="CE50" s="6"/>
      <c r="CF50" s="6"/>
      <c r="CG50" s="9">
        <v>27</v>
      </c>
    </row>
    <row r="51" spans="1:85" x14ac:dyDescent="0.3">
      <c r="A51" s="3" t="str">
        <f t="shared" si="2"/>
        <v>ADDDiscoveryScience &amp; Technology CentersSTCs - Administration</v>
      </c>
      <c r="B51" s="6" t="s">
        <v>81</v>
      </c>
      <c r="C51" s="6" t="s">
        <v>82</v>
      </c>
      <c r="D51" s="6" t="s">
        <v>123</v>
      </c>
      <c r="E51" s="6" t="s">
        <v>128</v>
      </c>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8">
        <v>0.6</v>
      </c>
      <c r="BG51" s="8">
        <v>0.6</v>
      </c>
      <c r="BH51" s="6"/>
      <c r="BI51" s="6"/>
      <c r="BJ51" s="6"/>
      <c r="BK51" s="6"/>
      <c r="BL51" s="8">
        <v>0.6</v>
      </c>
      <c r="BM51" s="6"/>
      <c r="BN51" s="6"/>
      <c r="BO51" s="6"/>
      <c r="BP51" s="6"/>
      <c r="BQ51" s="6"/>
      <c r="BR51" s="6"/>
      <c r="BS51" s="6"/>
      <c r="BT51" s="6"/>
      <c r="BU51" s="6"/>
      <c r="BV51" s="6"/>
      <c r="BW51" s="6"/>
      <c r="BX51" s="6"/>
      <c r="BY51" s="6"/>
      <c r="BZ51" s="6"/>
      <c r="CA51" s="6"/>
      <c r="CB51" s="6"/>
      <c r="CC51" s="6"/>
      <c r="CD51" s="6"/>
      <c r="CE51" s="6"/>
      <c r="CF51" s="6"/>
      <c r="CG51" s="9">
        <v>0.6</v>
      </c>
    </row>
    <row r="52" spans="1:85" x14ac:dyDescent="0.3">
      <c r="A52" s="3" t="str">
        <f t="shared" si="2"/>
        <v>ADDDiscoverySmall Business – SBIR ProgramsTotal</v>
      </c>
      <c r="B52" s="6" t="s">
        <v>81</v>
      </c>
      <c r="C52" s="6" t="s">
        <v>82</v>
      </c>
      <c r="D52" s="6" t="s">
        <v>129</v>
      </c>
      <c r="E52" s="6" t="s">
        <v>24</v>
      </c>
      <c r="F52" s="6"/>
      <c r="G52" s="6"/>
      <c r="H52" s="6"/>
      <c r="I52" s="6"/>
      <c r="J52" s="6"/>
      <c r="K52" s="6"/>
      <c r="L52" s="6"/>
      <c r="M52" s="6"/>
      <c r="N52" s="6"/>
      <c r="O52" s="6"/>
      <c r="P52" s="6"/>
      <c r="Q52" s="6"/>
      <c r="R52" s="6"/>
      <c r="S52" s="6"/>
      <c r="T52" s="6"/>
      <c r="U52" s="6"/>
      <c r="V52" s="6"/>
      <c r="W52" s="6"/>
      <c r="X52" s="6"/>
      <c r="Y52" s="8">
        <v>0</v>
      </c>
      <c r="Z52" s="6"/>
      <c r="AA52" s="8">
        <v>0</v>
      </c>
      <c r="AB52" s="6"/>
      <c r="AC52" s="6"/>
      <c r="AD52" s="6"/>
      <c r="AE52" s="6"/>
      <c r="AF52" s="6"/>
      <c r="AG52" s="6"/>
      <c r="AH52" s="6"/>
      <c r="AI52" s="6"/>
      <c r="AJ52" s="6"/>
      <c r="AK52" s="6"/>
      <c r="AL52" s="6"/>
      <c r="AM52" s="6"/>
      <c r="AN52" s="6"/>
      <c r="AO52" s="6"/>
      <c r="AP52" s="6"/>
      <c r="AQ52" s="6"/>
      <c r="AR52" s="6"/>
      <c r="AS52" s="6"/>
      <c r="AT52" s="6"/>
      <c r="AU52" s="6"/>
      <c r="AV52" s="6"/>
      <c r="AW52" s="6"/>
      <c r="AX52" s="6"/>
      <c r="AY52" s="6"/>
      <c r="AZ52" s="8">
        <v>243.77</v>
      </c>
      <c r="BA52" s="6"/>
      <c r="BB52" s="8">
        <v>243.77</v>
      </c>
      <c r="BC52" s="6"/>
      <c r="BD52" s="6"/>
      <c r="BE52" s="6"/>
      <c r="BF52" s="6"/>
      <c r="BG52" s="6"/>
      <c r="BH52" s="6"/>
      <c r="BI52" s="6"/>
      <c r="BJ52" s="6"/>
      <c r="BK52" s="6"/>
      <c r="BL52" s="8">
        <v>243.77</v>
      </c>
      <c r="BM52" s="6"/>
      <c r="BN52" s="6"/>
      <c r="BO52" s="6"/>
      <c r="BP52" s="6"/>
      <c r="BQ52" s="6"/>
      <c r="BR52" s="6"/>
      <c r="BS52" s="6"/>
      <c r="BT52" s="6"/>
      <c r="BU52" s="6"/>
      <c r="BV52" s="6"/>
      <c r="BW52" s="6"/>
      <c r="BX52" s="6"/>
      <c r="BY52" s="6"/>
      <c r="BZ52" s="6"/>
      <c r="CA52" s="6"/>
      <c r="CB52" s="6"/>
      <c r="CC52" s="6"/>
      <c r="CD52" s="6"/>
      <c r="CE52" s="6"/>
      <c r="CF52" s="6"/>
      <c r="CG52" s="9">
        <v>243.77</v>
      </c>
    </row>
    <row r="53" spans="1:85" x14ac:dyDescent="0.3">
      <c r="A53" s="3" t="str">
        <f t="shared" si="2"/>
        <v>ADDDiscoverySmall Business – SBIR/STTR OperationsTotal</v>
      </c>
      <c r="B53" s="6" t="s">
        <v>81</v>
      </c>
      <c r="C53" s="6" t="s">
        <v>82</v>
      </c>
      <c r="D53" s="6" t="s">
        <v>130</v>
      </c>
      <c r="E53" s="6" t="s">
        <v>24</v>
      </c>
      <c r="F53" s="6"/>
      <c r="G53" s="6"/>
      <c r="H53" s="6"/>
      <c r="I53" s="6"/>
      <c r="J53" s="6"/>
      <c r="K53" s="6"/>
      <c r="L53" s="6"/>
      <c r="M53" s="6"/>
      <c r="N53" s="6"/>
      <c r="O53" s="6"/>
      <c r="P53" s="6"/>
      <c r="Q53" s="6"/>
      <c r="R53" s="6"/>
      <c r="S53" s="6"/>
      <c r="T53" s="6"/>
      <c r="U53" s="6"/>
      <c r="V53" s="6"/>
      <c r="W53" s="6"/>
      <c r="X53" s="6"/>
      <c r="Y53" s="8">
        <v>0</v>
      </c>
      <c r="Z53" s="6"/>
      <c r="AA53" s="8">
        <v>0</v>
      </c>
      <c r="AB53" s="6"/>
      <c r="AC53" s="6"/>
      <c r="AD53" s="6"/>
      <c r="AE53" s="6"/>
      <c r="AF53" s="6"/>
      <c r="AG53" s="6"/>
      <c r="AH53" s="6"/>
      <c r="AI53" s="6"/>
      <c r="AJ53" s="6"/>
      <c r="AK53" s="6"/>
      <c r="AL53" s="6"/>
      <c r="AM53" s="6"/>
      <c r="AN53" s="6"/>
      <c r="AO53" s="6"/>
      <c r="AP53" s="6"/>
      <c r="AQ53" s="6"/>
      <c r="AR53" s="6"/>
      <c r="AS53" s="6"/>
      <c r="AT53" s="6"/>
      <c r="AU53" s="6"/>
      <c r="AV53" s="6"/>
      <c r="AW53" s="6"/>
      <c r="AX53" s="6"/>
      <c r="AY53" s="6"/>
      <c r="AZ53" s="8">
        <v>5</v>
      </c>
      <c r="BA53" s="6"/>
      <c r="BB53" s="8">
        <v>5</v>
      </c>
      <c r="BC53" s="6"/>
      <c r="BD53" s="6"/>
      <c r="BE53" s="6"/>
      <c r="BF53" s="6"/>
      <c r="BG53" s="6"/>
      <c r="BH53" s="6"/>
      <c r="BI53" s="6"/>
      <c r="BJ53" s="6"/>
      <c r="BK53" s="6"/>
      <c r="BL53" s="8">
        <v>5</v>
      </c>
      <c r="BM53" s="6"/>
      <c r="BN53" s="6"/>
      <c r="BO53" s="6"/>
      <c r="BP53" s="6"/>
      <c r="BQ53" s="6"/>
      <c r="BR53" s="6"/>
      <c r="BS53" s="6"/>
      <c r="BT53" s="6"/>
      <c r="BU53" s="6"/>
      <c r="BV53" s="6"/>
      <c r="BW53" s="6"/>
      <c r="BX53" s="6"/>
      <c r="BY53" s="6"/>
      <c r="BZ53" s="6"/>
      <c r="CA53" s="6"/>
      <c r="CB53" s="6"/>
      <c r="CC53" s="6"/>
      <c r="CD53" s="6"/>
      <c r="CE53" s="6"/>
      <c r="CF53" s="6"/>
      <c r="CG53" s="9">
        <v>5</v>
      </c>
    </row>
    <row r="54" spans="1:85" x14ac:dyDescent="0.3">
      <c r="A54" s="3" t="str">
        <f t="shared" si="2"/>
        <v>ADDDiscoverySmall Business – STTR ProgramsTotal</v>
      </c>
      <c r="B54" s="6" t="s">
        <v>81</v>
      </c>
      <c r="C54" s="6" t="s">
        <v>82</v>
      </c>
      <c r="D54" s="6" t="s">
        <v>131</v>
      </c>
      <c r="E54" s="6" t="s">
        <v>24</v>
      </c>
      <c r="F54" s="6"/>
      <c r="G54" s="6"/>
      <c r="H54" s="6"/>
      <c r="I54" s="6"/>
      <c r="J54" s="6"/>
      <c r="K54" s="6"/>
      <c r="L54" s="6"/>
      <c r="M54" s="6"/>
      <c r="N54" s="6"/>
      <c r="O54" s="6"/>
      <c r="P54" s="6"/>
      <c r="Q54" s="6"/>
      <c r="R54" s="6"/>
      <c r="S54" s="6"/>
      <c r="T54" s="6"/>
      <c r="U54" s="6"/>
      <c r="V54" s="6"/>
      <c r="W54" s="6"/>
      <c r="X54" s="6"/>
      <c r="Y54" s="8">
        <v>0</v>
      </c>
      <c r="Z54" s="6"/>
      <c r="AA54" s="8">
        <v>0</v>
      </c>
      <c r="AB54" s="6"/>
      <c r="AC54" s="6"/>
      <c r="AD54" s="6"/>
      <c r="AE54" s="6"/>
      <c r="AF54" s="6"/>
      <c r="AG54" s="6"/>
      <c r="AH54" s="6"/>
      <c r="AI54" s="6"/>
      <c r="AJ54" s="6"/>
      <c r="AK54" s="6"/>
      <c r="AL54" s="6"/>
      <c r="AM54" s="6"/>
      <c r="AN54" s="6"/>
      <c r="AO54" s="6"/>
      <c r="AP54" s="6"/>
      <c r="AQ54" s="6"/>
      <c r="AR54" s="6"/>
      <c r="AS54" s="6"/>
      <c r="AT54" s="6"/>
      <c r="AU54" s="6"/>
      <c r="AV54" s="6"/>
      <c r="AW54" s="6"/>
      <c r="AX54" s="6"/>
      <c r="AY54" s="6"/>
      <c r="AZ54" s="8">
        <v>34.29</v>
      </c>
      <c r="BA54" s="6"/>
      <c r="BB54" s="8">
        <v>34.29</v>
      </c>
      <c r="BC54" s="6"/>
      <c r="BD54" s="6"/>
      <c r="BE54" s="6"/>
      <c r="BF54" s="6"/>
      <c r="BG54" s="6"/>
      <c r="BH54" s="6"/>
      <c r="BI54" s="6"/>
      <c r="BJ54" s="6"/>
      <c r="BK54" s="6"/>
      <c r="BL54" s="8">
        <v>34.29</v>
      </c>
      <c r="BM54" s="6"/>
      <c r="BN54" s="6"/>
      <c r="BO54" s="6"/>
      <c r="BP54" s="6"/>
      <c r="BQ54" s="6"/>
      <c r="BR54" s="6"/>
      <c r="BS54" s="6"/>
      <c r="BT54" s="6"/>
      <c r="BU54" s="6"/>
      <c r="BV54" s="6"/>
      <c r="BW54" s="6"/>
      <c r="BX54" s="6"/>
      <c r="BY54" s="6"/>
      <c r="BZ54" s="6"/>
      <c r="CA54" s="6"/>
      <c r="CB54" s="6"/>
      <c r="CC54" s="6"/>
      <c r="CD54" s="6"/>
      <c r="CE54" s="6"/>
      <c r="CF54" s="6"/>
      <c r="CG54" s="9">
        <v>34.29</v>
      </c>
    </row>
    <row r="55" spans="1:85" x14ac:dyDescent="0.3">
      <c r="A55" s="3" t="str">
        <f t="shared" si="2"/>
        <v>ADDDiscoveryThe Future of Work at the Human-Technology Frontier (FW-HTF)Total</v>
      </c>
      <c r="B55" s="6" t="s">
        <v>81</v>
      </c>
      <c r="C55" s="6" t="s">
        <v>82</v>
      </c>
      <c r="D55" s="6" t="s">
        <v>93</v>
      </c>
      <c r="E55" s="6" t="s">
        <v>24</v>
      </c>
      <c r="F55" s="6"/>
      <c r="G55" s="6"/>
      <c r="H55" s="6"/>
      <c r="I55" s="6"/>
      <c r="J55" s="6"/>
      <c r="K55" s="6"/>
      <c r="L55" s="6"/>
      <c r="M55" s="6"/>
      <c r="N55" s="6"/>
      <c r="O55" s="6"/>
      <c r="P55" s="6"/>
      <c r="Q55" s="6"/>
      <c r="R55" s="6"/>
      <c r="S55" s="6"/>
      <c r="T55" s="6"/>
      <c r="U55" s="6"/>
      <c r="V55" s="6"/>
      <c r="W55" s="6"/>
      <c r="X55" s="8">
        <v>30</v>
      </c>
      <c r="Y55" s="6"/>
      <c r="Z55" s="8">
        <v>0</v>
      </c>
      <c r="AA55" s="8">
        <v>30</v>
      </c>
      <c r="AB55" s="6"/>
      <c r="AC55" s="6"/>
      <c r="AD55" s="6"/>
      <c r="AE55" s="6"/>
      <c r="AF55" s="6"/>
      <c r="AG55" s="6"/>
      <c r="AH55" s="6"/>
      <c r="AI55" s="6"/>
      <c r="AJ55" s="6"/>
      <c r="AK55" s="6"/>
      <c r="AL55" s="6"/>
      <c r="AM55" s="6"/>
      <c r="AN55" s="6"/>
      <c r="AO55" s="6"/>
      <c r="AP55" s="6"/>
      <c r="AQ55" s="6"/>
      <c r="AR55" s="6"/>
      <c r="AS55" s="6"/>
      <c r="AT55" s="6"/>
      <c r="AU55" s="6"/>
      <c r="AV55" s="6"/>
      <c r="AW55" s="8">
        <v>0</v>
      </c>
      <c r="AX55" s="6"/>
      <c r="AY55" s="6"/>
      <c r="AZ55" s="6"/>
      <c r="BA55" s="6"/>
      <c r="BB55" s="8">
        <v>0</v>
      </c>
      <c r="BC55" s="6"/>
      <c r="BD55" s="6"/>
      <c r="BE55" s="6"/>
      <c r="BF55" s="8">
        <v>0</v>
      </c>
      <c r="BG55" s="8">
        <v>0</v>
      </c>
      <c r="BH55" s="6"/>
      <c r="BI55" s="6"/>
      <c r="BJ55" s="6"/>
      <c r="BK55" s="6"/>
      <c r="BL55" s="8">
        <v>30</v>
      </c>
      <c r="BM55" s="6"/>
      <c r="BN55" s="6"/>
      <c r="BO55" s="6"/>
      <c r="BP55" s="6"/>
      <c r="BQ55" s="6"/>
      <c r="BR55" s="6"/>
      <c r="BS55" s="6"/>
      <c r="BT55" s="6"/>
      <c r="BU55" s="6"/>
      <c r="BV55" s="6"/>
      <c r="BW55" s="6"/>
      <c r="BX55" s="6"/>
      <c r="BY55" s="6"/>
      <c r="BZ55" s="6"/>
      <c r="CA55" s="6"/>
      <c r="CB55" s="6"/>
      <c r="CC55" s="6"/>
      <c r="CD55" s="6"/>
      <c r="CE55" s="6"/>
      <c r="CF55" s="6"/>
      <c r="CG55" s="9">
        <v>30</v>
      </c>
    </row>
    <row r="56" spans="1:85" x14ac:dyDescent="0.3">
      <c r="A56" s="3" t="str">
        <f t="shared" si="2"/>
        <v>ADDDiscoveryTribal Colleges &amp; Universities Program (TCUP)Total</v>
      </c>
      <c r="B56" s="6" t="s">
        <v>81</v>
      </c>
      <c r="C56" s="6" t="s">
        <v>82</v>
      </c>
      <c r="D56" s="6" t="s">
        <v>132</v>
      </c>
      <c r="E56" s="6" t="s">
        <v>24</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8">
        <v>23</v>
      </c>
      <c r="BQ56" s="6"/>
      <c r="BR56" s="8">
        <v>23</v>
      </c>
      <c r="BS56" s="8">
        <v>23</v>
      </c>
      <c r="BT56" s="6"/>
      <c r="BU56" s="6"/>
      <c r="BV56" s="6"/>
      <c r="BW56" s="6"/>
      <c r="BX56" s="6"/>
      <c r="BY56" s="6"/>
      <c r="BZ56" s="6"/>
      <c r="CA56" s="6"/>
      <c r="CB56" s="6"/>
      <c r="CC56" s="6"/>
      <c r="CD56" s="6"/>
      <c r="CE56" s="6"/>
      <c r="CF56" s="6"/>
      <c r="CG56" s="9">
        <v>23</v>
      </c>
    </row>
    <row r="57" spans="1:85" x14ac:dyDescent="0.3">
      <c r="A57" s="3" t="str">
        <f t="shared" si="2"/>
        <v>ADDDiscoveryUnderstanding the Rules of Life (URoL)Total</v>
      </c>
      <c r="B57" s="6" t="s">
        <v>81</v>
      </c>
      <c r="C57" s="6" t="s">
        <v>82</v>
      </c>
      <c r="D57" s="6" t="s">
        <v>95</v>
      </c>
      <c r="E57" s="6" t="s">
        <v>24</v>
      </c>
      <c r="F57" s="6"/>
      <c r="G57" s="6"/>
      <c r="H57" s="8">
        <v>30</v>
      </c>
      <c r="I57" s="6"/>
      <c r="J57" s="6"/>
      <c r="K57" s="6"/>
      <c r="L57" s="8">
        <v>30</v>
      </c>
      <c r="M57" s="6"/>
      <c r="N57" s="6"/>
      <c r="O57" s="6"/>
      <c r="P57" s="6"/>
      <c r="Q57" s="6"/>
      <c r="R57" s="8">
        <v>0</v>
      </c>
      <c r="S57" s="8">
        <v>0</v>
      </c>
      <c r="T57" s="6"/>
      <c r="U57" s="6"/>
      <c r="V57" s="6"/>
      <c r="W57" s="6"/>
      <c r="X57" s="6"/>
      <c r="Y57" s="6"/>
      <c r="Z57" s="8">
        <v>0</v>
      </c>
      <c r="AA57" s="8">
        <v>0</v>
      </c>
      <c r="AB57" s="6"/>
      <c r="AC57" s="6"/>
      <c r="AD57" s="6"/>
      <c r="AE57" s="6"/>
      <c r="AF57" s="6"/>
      <c r="AG57" s="8">
        <v>0</v>
      </c>
      <c r="AH57" s="8">
        <v>0</v>
      </c>
      <c r="AI57" s="6"/>
      <c r="AJ57" s="8">
        <v>0</v>
      </c>
      <c r="AK57" s="6"/>
      <c r="AL57" s="6"/>
      <c r="AM57" s="6"/>
      <c r="AN57" s="6"/>
      <c r="AO57" s="8">
        <v>0</v>
      </c>
      <c r="AP57" s="8">
        <v>0</v>
      </c>
      <c r="AQ57" s="6"/>
      <c r="AR57" s="6"/>
      <c r="AS57" s="6"/>
      <c r="AT57" s="6"/>
      <c r="AU57" s="8">
        <v>0</v>
      </c>
      <c r="AV57" s="8">
        <v>0</v>
      </c>
      <c r="AW57" s="6"/>
      <c r="AX57" s="6"/>
      <c r="AY57" s="6"/>
      <c r="AZ57" s="6"/>
      <c r="BA57" s="6"/>
      <c r="BB57" s="6"/>
      <c r="BC57" s="6"/>
      <c r="BD57" s="6"/>
      <c r="BE57" s="6"/>
      <c r="BF57" s="6"/>
      <c r="BG57" s="6"/>
      <c r="BH57" s="6"/>
      <c r="BI57" s="6"/>
      <c r="BJ57" s="6"/>
      <c r="BK57" s="6"/>
      <c r="BL57" s="8">
        <v>30</v>
      </c>
      <c r="BM57" s="6"/>
      <c r="BN57" s="6"/>
      <c r="BO57" s="6"/>
      <c r="BP57" s="6"/>
      <c r="BQ57" s="6"/>
      <c r="BR57" s="6"/>
      <c r="BS57" s="6"/>
      <c r="BT57" s="6"/>
      <c r="BU57" s="6"/>
      <c r="BV57" s="6"/>
      <c r="BW57" s="6"/>
      <c r="BX57" s="6"/>
      <c r="BY57" s="6"/>
      <c r="BZ57" s="6"/>
      <c r="CA57" s="6"/>
      <c r="CB57" s="6"/>
      <c r="CC57" s="6"/>
      <c r="CD57" s="6"/>
      <c r="CE57" s="6"/>
      <c r="CF57" s="6"/>
      <c r="CG57" s="9">
        <v>30</v>
      </c>
    </row>
    <row r="58" spans="1:85" x14ac:dyDescent="0.3">
      <c r="A58" s="3" t="str">
        <f t="shared" si="2"/>
        <v>ADDDiscoveryWindows on the Universe (WoU)Total</v>
      </c>
      <c r="B58" s="6" t="s">
        <v>81</v>
      </c>
      <c r="C58" s="6" t="s">
        <v>82</v>
      </c>
      <c r="D58" s="6" t="s">
        <v>96</v>
      </c>
      <c r="E58" s="6" t="s">
        <v>24</v>
      </c>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8">
        <v>30</v>
      </c>
      <c r="AN58" s="6"/>
      <c r="AO58" s="6"/>
      <c r="AP58" s="8">
        <v>30</v>
      </c>
      <c r="AQ58" s="6"/>
      <c r="AR58" s="6"/>
      <c r="AS58" s="6"/>
      <c r="AT58" s="6"/>
      <c r="AU58" s="6"/>
      <c r="AV58" s="6"/>
      <c r="AW58" s="6"/>
      <c r="AX58" s="6"/>
      <c r="AY58" s="6"/>
      <c r="AZ58" s="6"/>
      <c r="BA58" s="6"/>
      <c r="BB58" s="6"/>
      <c r="BC58" s="6"/>
      <c r="BD58" s="6"/>
      <c r="BE58" s="6"/>
      <c r="BF58" s="6"/>
      <c r="BG58" s="6"/>
      <c r="BH58" s="6"/>
      <c r="BI58" s="6"/>
      <c r="BJ58" s="6"/>
      <c r="BK58" s="6"/>
      <c r="BL58" s="8">
        <v>30</v>
      </c>
      <c r="BM58" s="6"/>
      <c r="BN58" s="6"/>
      <c r="BO58" s="6"/>
      <c r="BP58" s="6"/>
      <c r="BQ58" s="6"/>
      <c r="BR58" s="6"/>
      <c r="BS58" s="6"/>
      <c r="BT58" s="6"/>
      <c r="BU58" s="6"/>
      <c r="BV58" s="6"/>
      <c r="BW58" s="6"/>
      <c r="BX58" s="6"/>
      <c r="BY58" s="6"/>
      <c r="BZ58" s="6"/>
      <c r="CA58" s="6"/>
      <c r="CB58" s="6"/>
      <c r="CC58" s="6"/>
      <c r="CD58" s="6"/>
      <c r="CE58" s="6"/>
      <c r="CF58" s="6"/>
      <c r="CG58" s="9">
        <v>30</v>
      </c>
    </row>
    <row r="59" spans="1:85" x14ac:dyDescent="0.3">
      <c r="A59" s="3" t="str">
        <f t="shared" si="2"/>
        <v>ADDLearningTotalTotal</v>
      </c>
      <c r="B59" s="6" t="s">
        <v>81</v>
      </c>
      <c r="C59" s="6" t="s">
        <v>133</v>
      </c>
      <c r="D59" s="6" t="s">
        <v>24</v>
      </c>
      <c r="E59" s="6" t="s">
        <v>24</v>
      </c>
      <c r="F59" s="8">
        <v>31</v>
      </c>
      <c r="G59" s="8">
        <v>2.5</v>
      </c>
      <c r="H59" s="8">
        <v>68</v>
      </c>
      <c r="I59" s="8">
        <v>4.8</v>
      </c>
      <c r="J59" s="8">
        <v>2</v>
      </c>
      <c r="K59" s="6"/>
      <c r="L59" s="8">
        <v>108.3</v>
      </c>
      <c r="M59" s="8">
        <v>13.8</v>
      </c>
      <c r="N59" s="8">
        <v>16.100000000000001</v>
      </c>
      <c r="O59" s="8">
        <v>14.2</v>
      </c>
      <c r="P59" s="8">
        <v>3.55</v>
      </c>
      <c r="Q59" s="8">
        <v>10.35</v>
      </c>
      <c r="R59" s="6"/>
      <c r="S59" s="8">
        <v>58</v>
      </c>
      <c r="T59" s="8">
        <v>1.5</v>
      </c>
      <c r="U59" s="8">
        <v>2.4</v>
      </c>
      <c r="V59" s="8">
        <v>0.92</v>
      </c>
      <c r="W59" s="8">
        <v>19.2</v>
      </c>
      <c r="X59" s="8">
        <v>0.12</v>
      </c>
      <c r="Y59" s="8">
        <v>0</v>
      </c>
      <c r="Z59" s="6"/>
      <c r="AA59" s="8">
        <v>24.14</v>
      </c>
      <c r="AB59" s="8">
        <v>4.68</v>
      </c>
      <c r="AC59" s="8">
        <v>9.1999999999999993</v>
      </c>
      <c r="AD59" s="8">
        <v>10.96</v>
      </c>
      <c r="AE59" s="8">
        <v>5</v>
      </c>
      <c r="AF59" s="8">
        <v>5</v>
      </c>
      <c r="AG59" s="6"/>
      <c r="AH59" s="8">
        <v>34.840000000000003</v>
      </c>
      <c r="AI59" s="8">
        <v>4.5999999999999996</v>
      </c>
      <c r="AJ59" s="8">
        <v>4.5199999999999996</v>
      </c>
      <c r="AK59" s="8">
        <v>2.5</v>
      </c>
      <c r="AL59" s="8">
        <v>14.15</v>
      </c>
      <c r="AM59" s="8">
        <v>29</v>
      </c>
      <c r="AN59" s="8">
        <v>4.92</v>
      </c>
      <c r="AO59" s="6"/>
      <c r="AP59" s="8">
        <v>59.69</v>
      </c>
      <c r="AQ59" s="8">
        <v>0.44</v>
      </c>
      <c r="AR59" s="6"/>
      <c r="AS59" s="8">
        <v>12.06</v>
      </c>
      <c r="AT59" s="8">
        <v>0.5</v>
      </c>
      <c r="AU59" s="6"/>
      <c r="AV59" s="8">
        <v>13</v>
      </c>
      <c r="AW59" s="8">
        <v>10</v>
      </c>
      <c r="AX59" s="6"/>
      <c r="AY59" s="8">
        <v>20</v>
      </c>
      <c r="AZ59" s="8">
        <v>15</v>
      </c>
      <c r="BA59" s="6"/>
      <c r="BB59" s="8">
        <v>45</v>
      </c>
      <c r="BC59" s="8">
        <v>10</v>
      </c>
      <c r="BD59" s="8">
        <v>10</v>
      </c>
      <c r="BE59" s="6"/>
      <c r="BF59" s="8">
        <v>5.4</v>
      </c>
      <c r="BG59" s="8">
        <v>5.4</v>
      </c>
      <c r="BH59" s="6"/>
      <c r="BI59" s="6"/>
      <c r="BJ59" s="6"/>
      <c r="BK59" s="6"/>
      <c r="BL59" s="8">
        <v>358.37</v>
      </c>
      <c r="BM59" s="8">
        <v>498.01</v>
      </c>
      <c r="BN59" s="8">
        <v>10</v>
      </c>
      <c r="BO59" s="8">
        <v>142</v>
      </c>
      <c r="BP59" s="8">
        <v>98.64</v>
      </c>
      <c r="BQ59" s="8">
        <v>-13.86</v>
      </c>
      <c r="BR59" s="8">
        <v>734.79</v>
      </c>
      <c r="BS59" s="8">
        <v>734.79</v>
      </c>
      <c r="BT59" s="6"/>
      <c r="BU59" s="6"/>
      <c r="BV59" s="6"/>
      <c r="BW59" s="6"/>
      <c r="BX59" s="6"/>
      <c r="BY59" s="6"/>
      <c r="BZ59" s="6"/>
      <c r="CA59" s="6"/>
      <c r="CB59" s="6"/>
      <c r="CC59" s="6"/>
      <c r="CD59" s="6"/>
      <c r="CE59" s="6"/>
      <c r="CF59" s="6"/>
      <c r="CG59" s="9">
        <v>1093.1600000000001</v>
      </c>
    </row>
    <row r="60" spans="1:85" x14ac:dyDescent="0.3">
      <c r="A60" s="3" t="str">
        <f t="shared" si="2"/>
        <v>ADDLearningADVANCETotal</v>
      </c>
      <c r="B60" s="6" t="s">
        <v>81</v>
      </c>
      <c r="C60" s="6" t="s">
        <v>133</v>
      </c>
      <c r="D60" s="6" t="s">
        <v>134</v>
      </c>
      <c r="E60" s="6" t="s">
        <v>24</v>
      </c>
      <c r="F60" s="6"/>
      <c r="G60" s="6"/>
      <c r="H60" s="6"/>
      <c r="I60" s="6"/>
      <c r="J60" s="6"/>
      <c r="K60" s="6"/>
      <c r="L60" s="6"/>
      <c r="M60" s="6"/>
      <c r="N60" s="8">
        <v>0</v>
      </c>
      <c r="O60" s="6"/>
      <c r="P60" s="6"/>
      <c r="Q60" s="6"/>
      <c r="R60" s="6"/>
      <c r="S60" s="8">
        <v>0</v>
      </c>
      <c r="T60" s="8">
        <v>0</v>
      </c>
      <c r="U60" s="8">
        <v>0</v>
      </c>
      <c r="V60" s="6"/>
      <c r="W60" s="6"/>
      <c r="X60" s="8">
        <v>0</v>
      </c>
      <c r="Y60" s="6"/>
      <c r="Z60" s="6"/>
      <c r="AA60" s="8">
        <v>0</v>
      </c>
      <c r="AB60" s="6"/>
      <c r="AC60" s="6"/>
      <c r="AD60" s="6"/>
      <c r="AE60" s="8">
        <v>0</v>
      </c>
      <c r="AF60" s="6"/>
      <c r="AG60" s="6"/>
      <c r="AH60" s="8">
        <v>0</v>
      </c>
      <c r="AI60" s="6"/>
      <c r="AJ60" s="8">
        <v>0</v>
      </c>
      <c r="AK60" s="6"/>
      <c r="AL60" s="6"/>
      <c r="AM60" s="8">
        <v>0</v>
      </c>
      <c r="AN60" s="6"/>
      <c r="AO60" s="6"/>
      <c r="AP60" s="8">
        <v>0</v>
      </c>
      <c r="AQ60" s="8">
        <v>0</v>
      </c>
      <c r="AR60" s="6"/>
      <c r="AS60" s="6"/>
      <c r="AT60" s="8">
        <v>0</v>
      </c>
      <c r="AU60" s="6"/>
      <c r="AV60" s="8">
        <v>0</v>
      </c>
      <c r="AW60" s="6"/>
      <c r="AX60" s="6"/>
      <c r="AY60" s="6"/>
      <c r="AZ60" s="6"/>
      <c r="BA60" s="6"/>
      <c r="BB60" s="6"/>
      <c r="BC60" s="6"/>
      <c r="BD60" s="6"/>
      <c r="BE60" s="6"/>
      <c r="BF60" s="6"/>
      <c r="BG60" s="6"/>
      <c r="BH60" s="6"/>
      <c r="BI60" s="6"/>
      <c r="BJ60" s="6"/>
      <c r="BK60" s="6"/>
      <c r="BL60" s="8">
        <v>0</v>
      </c>
      <c r="BM60" s="6"/>
      <c r="BN60" s="6"/>
      <c r="BO60" s="6"/>
      <c r="BP60" s="8">
        <v>20.5</v>
      </c>
      <c r="BQ60" s="6"/>
      <c r="BR60" s="8">
        <v>20.5</v>
      </c>
      <c r="BS60" s="8">
        <v>20.5</v>
      </c>
      <c r="BT60" s="6"/>
      <c r="BU60" s="6"/>
      <c r="BV60" s="6"/>
      <c r="BW60" s="6"/>
      <c r="BX60" s="6"/>
      <c r="BY60" s="6"/>
      <c r="BZ60" s="6"/>
      <c r="CA60" s="6"/>
      <c r="CB60" s="6"/>
      <c r="CC60" s="6"/>
      <c r="CD60" s="6"/>
      <c r="CE60" s="6"/>
      <c r="CF60" s="6"/>
      <c r="CG60" s="9">
        <v>20.5</v>
      </c>
    </row>
    <row r="61" spans="1:85" x14ac:dyDescent="0.3">
      <c r="A61" s="3" t="str">
        <f t="shared" si="2"/>
        <v>ADDLearningAdvanced Technological Education (ATE)Total</v>
      </c>
      <c r="B61" s="6" t="s">
        <v>81</v>
      </c>
      <c r="C61" s="6" t="s">
        <v>133</v>
      </c>
      <c r="D61" s="6" t="s">
        <v>135</v>
      </c>
      <c r="E61" s="6" t="s">
        <v>24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8">
        <v>75</v>
      </c>
      <c r="BP61" s="6"/>
      <c r="BQ61" s="6"/>
      <c r="BR61" s="8">
        <v>75</v>
      </c>
      <c r="BS61" s="8">
        <v>75</v>
      </c>
      <c r="BT61" s="6"/>
      <c r="BU61" s="6"/>
      <c r="BV61" s="6"/>
      <c r="BW61" s="6"/>
      <c r="BX61" s="6"/>
      <c r="BY61" s="6"/>
      <c r="BZ61" s="6"/>
      <c r="CA61" s="6"/>
      <c r="CB61" s="6"/>
      <c r="CC61" s="6"/>
      <c r="CD61" s="6"/>
      <c r="CE61" s="6"/>
      <c r="CF61" s="6"/>
      <c r="CG61" s="9">
        <v>75</v>
      </c>
    </row>
    <row r="62" spans="1:85" x14ac:dyDescent="0.3">
      <c r="A62" s="3" t="str">
        <f t="shared" si="2"/>
        <v>ADDLearningAstronomy &amp; Astrophysics Postdoctoral Fellowships (AAPF)Total</v>
      </c>
      <c r="B62" s="6" t="s">
        <v>81</v>
      </c>
      <c r="C62" s="6" t="s">
        <v>133</v>
      </c>
      <c r="D62" s="6" t="s">
        <v>136</v>
      </c>
      <c r="E62" s="6" t="s">
        <v>24</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8">
        <v>2.4</v>
      </c>
      <c r="AJ62" s="6"/>
      <c r="AK62" s="6"/>
      <c r="AL62" s="6"/>
      <c r="AM62" s="8">
        <v>3</v>
      </c>
      <c r="AN62" s="6"/>
      <c r="AO62" s="6"/>
      <c r="AP62" s="8">
        <v>5.4</v>
      </c>
      <c r="AQ62" s="6"/>
      <c r="AR62" s="6"/>
      <c r="AS62" s="6"/>
      <c r="AT62" s="6"/>
      <c r="AU62" s="6"/>
      <c r="AV62" s="6"/>
      <c r="AW62" s="6"/>
      <c r="AX62" s="6"/>
      <c r="AY62" s="6"/>
      <c r="AZ62" s="6"/>
      <c r="BA62" s="6"/>
      <c r="BB62" s="6"/>
      <c r="BC62" s="6"/>
      <c r="BD62" s="6"/>
      <c r="BE62" s="6"/>
      <c r="BF62" s="6"/>
      <c r="BG62" s="6"/>
      <c r="BH62" s="6"/>
      <c r="BI62" s="6"/>
      <c r="BJ62" s="6"/>
      <c r="BK62" s="6"/>
      <c r="BL62" s="8">
        <v>5.4</v>
      </c>
      <c r="BM62" s="6"/>
      <c r="BN62" s="6"/>
      <c r="BO62" s="6"/>
      <c r="BP62" s="6"/>
      <c r="BQ62" s="6"/>
      <c r="BR62" s="6"/>
      <c r="BS62" s="6"/>
      <c r="BT62" s="6"/>
      <c r="BU62" s="6"/>
      <c r="BV62" s="6"/>
      <c r="BW62" s="6"/>
      <c r="BX62" s="6"/>
      <c r="BY62" s="6"/>
      <c r="BZ62" s="6"/>
      <c r="CA62" s="6"/>
      <c r="CB62" s="6"/>
      <c r="CC62" s="6"/>
      <c r="CD62" s="6"/>
      <c r="CE62" s="6"/>
      <c r="CF62" s="6"/>
      <c r="CG62" s="9">
        <v>5.4</v>
      </c>
    </row>
    <row r="63" spans="1:85" x14ac:dyDescent="0.3">
      <c r="A63" s="3" t="str">
        <f t="shared" si="2"/>
        <v>ADDLearningComputer Science for All (CSforAll)Total</v>
      </c>
      <c r="B63" s="6" t="s">
        <v>81</v>
      </c>
      <c r="C63" s="6" t="s">
        <v>133</v>
      </c>
      <c r="D63" s="6" t="s">
        <v>138</v>
      </c>
      <c r="E63" s="6" t="s">
        <v>24</v>
      </c>
      <c r="F63" s="6"/>
      <c r="G63" s="6"/>
      <c r="H63" s="6"/>
      <c r="I63" s="6"/>
      <c r="J63" s="6"/>
      <c r="K63" s="6"/>
      <c r="L63" s="6"/>
      <c r="M63" s="8">
        <v>4.5</v>
      </c>
      <c r="N63" s="8">
        <v>5.5</v>
      </c>
      <c r="O63" s="8">
        <v>4.5</v>
      </c>
      <c r="P63" s="6"/>
      <c r="Q63" s="8">
        <v>0</v>
      </c>
      <c r="R63" s="6"/>
      <c r="S63" s="8">
        <v>14.5</v>
      </c>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8">
        <v>14.5</v>
      </c>
      <c r="BM63" s="6"/>
      <c r="BN63" s="8">
        <v>10</v>
      </c>
      <c r="BO63" s="6"/>
      <c r="BP63" s="6"/>
      <c r="BQ63" s="6"/>
      <c r="BR63" s="8">
        <v>10</v>
      </c>
      <c r="BS63" s="8">
        <v>10</v>
      </c>
      <c r="BT63" s="6"/>
      <c r="BU63" s="6"/>
      <c r="BV63" s="6"/>
      <c r="BW63" s="6"/>
      <c r="BX63" s="6"/>
      <c r="BY63" s="6"/>
      <c r="BZ63" s="6"/>
      <c r="CA63" s="6"/>
      <c r="CB63" s="6"/>
      <c r="CC63" s="6"/>
      <c r="CD63" s="6"/>
      <c r="CE63" s="6"/>
      <c r="CF63" s="6"/>
      <c r="CG63" s="9">
        <v>24.5</v>
      </c>
    </row>
    <row r="64" spans="1:85" x14ac:dyDescent="0.3">
      <c r="A64" s="3" t="str">
        <f t="shared" si="2"/>
        <v>ADDLearningComputing WorkforceTotal</v>
      </c>
      <c r="B64" s="6" t="s">
        <v>81</v>
      </c>
      <c r="C64" s="6" t="s">
        <v>133</v>
      </c>
      <c r="D64" s="6" t="s">
        <v>139</v>
      </c>
      <c r="E64" s="6" t="s">
        <v>24</v>
      </c>
      <c r="F64" s="6"/>
      <c r="G64" s="6"/>
      <c r="H64" s="6"/>
      <c r="I64" s="6"/>
      <c r="J64" s="6"/>
      <c r="K64" s="6"/>
      <c r="L64" s="6"/>
      <c r="M64" s="8">
        <v>0</v>
      </c>
      <c r="N64" s="8">
        <v>0</v>
      </c>
      <c r="O64" s="8">
        <v>0</v>
      </c>
      <c r="P64" s="8">
        <v>0</v>
      </c>
      <c r="Q64" s="8">
        <v>0</v>
      </c>
      <c r="R64" s="6"/>
      <c r="S64" s="8">
        <v>0</v>
      </c>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8">
        <v>0</v>
      </c>
      <c r="BM64" s="6"/>
      <c r="BN64" s="6"/>
      <c r="BO64" s="6"/>
      <c r="BP64" s="6"/>
      <c r="BQ64" s="6"/>
      <c r="BR64" s="6"/>
      <c r="BS64" s="6"/>
      <c r="BT64" s="6"/>
      <c r="BU64" s="6"/>
      <c r="BV64" s="6"/>
      <c r="BW64" s="6"/>
      <c r="BX64" s="6"/>
      <c r="BY64" s="6"/>
      <c r="BZ64" s="6"/>
      <c r="CA64" s="6"/>
      <c r="CB64" s="6"/>
      <c r="CC64" s="6"/>
      <c r="CD64" s="6"/>
      <c r="CE64" s="6"/>
      <c r="CF64" s="6"/>
      <c r="CG64" s="9">
        <v>0</v>
      </c>
    </row>
    <row r="65" spans="1:85" x14ac:dyDescent="0.3">
      <c r="A65" s="3" t="str">
        <f t="shared" si="2"/>
        <v>ADDLearningCSGrad4USTotal</v>
      </c>
      <c r="B65" s="6" t="s">
        <v>81</v>
      </c>
      <c r="C65" s="6" t="s">
        <v>133</v>
      </c>
      <c r="D65" s="6" t="s">
        <v>350</v>
      </c>
      <c r="E65" s="6" t="s">
        <v>24</v>
      </c>
      <c r="F65" s="6"/>
      <c r="G65" s="6"/>
      <c r="H65" s="6"/>
      <c r="I65" s="6"/>
      <c r="J65" s="6"/>
      <c r="K65" s="6"/>
      <c r="L65" s="6"/>
      <c r="M65" s="8">
        <v>4.5</v>
      </c>
      <c r="N65" s="8">
        <v>5</v>
      </c>
      <c r="O65" s="8">
        <v>4.5</v>
      </c>
      <c r="P65" s="8">
        <v>3.55</v>
      </c>
      <c r="Q65" s="8">
        <v>3.15</v>
      </c>
      <c r="R65" s="6"/>
      <c r="S65" s="8">
        <v>20.7</v>
      </c>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8">
        <v>20.7</v>
      </c>
      <c r="BM65" s="6"/>
      <c r="BN65" s="6"/>
      <c r="BO65" s="6"/>
      <c r="BP65" s="6"/>
      <c r="BQ65" s="6"/>
      <c r="BR65" s="6"/>
      <c r="BS65" s="6"/>
      <c r="BT65" s="6"/>
      <c r="BU65" s="6"/>
      <c r="BV65" s="6"/>
      <c r="BW65" s="6"/>
      <c r="BX65" s="6"/>
      <c r="BY65" s="6"/>
      <c r="BZ65" s="6"/>
      <c r="CA65" s="6"/>
      <c r="CB65" s="6"/>
      <c r="CC65" s="6"/>
      <c r="CD65" s="6"/>
      <c r="CE65" s="6"/>
      <c r="CF65" s="6"/>
      <c r="CG65" s="9">
        <v>20.7</v>
      </c>
    </row>
    <row r="66" spans="1:85" x14ac:dyDescent="0.3">
      <c r="A66" s="3" t="str">
        <f t="shared" si="2"/>
        <v>ADDLearningCybercorps: Scholarships for Service (SFS)Total</v>
      </c>
      <c r="B66" s="6" t="s">
        <v>81</v>
      </c>
      <c r="C66" s="6" t="s">
        <v>133</v>
      </c>
      <c r="D66" s="6" t="s">
        <v>140</v>
      </c>
      <c r="E66" s="6" t="s">
        <v>24</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8">
        <v>75</v>
      </c>
      <c r="BN66" s="6"/>
      <c r="BO66" s="6"/>
      <c r="BP66" s="6"/>
      <c r="BQ66" s="6"/>
      <c r="BR66" s="8">
        <v>75</v>
      </c>
      <c r="BS66" s="8">
        <v>75</v>
      </c>
      <c r="BT66" s="6"/>
      <c r="BU66" s="6"/>
      <c r="BV66" s="6"/>
      <c r="BW66" s="6"/>
      <c r="BX66" s="6"/>
      <c r="BY66" s="6"/>
      <c r="BZ66" s="6"/>
      <c r="CA66" s="6"/>
      <c r="CB66" s="6"/>
      <c r="CC66" s="6"/>
      <c r="CD66" s="6"/>
      <c r="CE66" s="6"/>
      <c r="CF66" s="6"/>
      <c r="CG66" s="9">
        <v>75</v>
      </c>
    </row>
    <row r="67" spans="1:85" x14ac:dyDescent="0.3">
      <c r="A67" s="3" t="str">
        <f t="shared" si="2"/>
        <v>ADDLearningCyberTrainingTotal</v>
      </c>
      <c r="B67" s="6" t="s">
        <v>81</v>
      </c>
      <c r="C67" s="6" t="s">
        <v>133</v>
      </c>
      <c r="D67" s="6" t="s">
        <v>141</v>
      </c>
      <c r="E67" s="6" t="s">
        <v>24</v>
      </c>
      <c r="F67" s="6"/>
      <c r="G67" s="6"/>
      <c r="H67" s="6"/>
      <c r="I67" s="6"/>
      <c r="J67" s="6"/>
      <c r="K67" s="6"/>
      <c r="L67" s="6"/>
      <c r="M67" s="6"/>
      <c r="N67" s="6"/>
      <c r="O67" s="6"/>
      <c r="P67" s="6"/>
      <c r="Q67" s="8">
        <v>6</v>
      </c>
      <c r="R67" s="6"/>
      <c r="S67" s="8">
        <v>6</v>
      </c>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8">
        <v>6</v>
      </c>
      <c r="BM67" s="6"/>
      <c r="BN67" s="6"/>
      <c r="BO67" s="6"/>
      <c r="BP67" s="6"/>
      <c r="BQ67" s="6"/>
      <c r="BR67" s="6"/>
      <c r="BS67" s="6"/>
      <c r="BT67" s="6"/>
      <c r="BU67" s="6"/>
      <c r="BV67" s="6"/>
      <c r="BW67" s="6"/>
      <c r="BX67" s="6"/>
      <c r="BY67" s="6"/>
      <c r="BZ67" s="6"/>
      <c r="CA67" s="6"/>
      <c r="CB67" s="6"/>
      <c r="CC67" s="6"/>
      <c r="CD67" s="6"/>
      <c r="CE67" s="6"/>
      <c r="CF67" s="6"/>
      <c r="CG67" s="9">
        <v>6</v>
      </c>
    </row>
    <row r="68" spans="1:85" x14ac:dyDescent="0.3">
      <c r="A68" s="3" t="str">
        <f t="shared" si="2"/>
        <v>ADDLearningEntrepreneurial FellowsTotal</v>
      </c>
      <c r="B68" s="6" t="s">
        <v>81</v>
      </c>
      <c r="C68" s="6" t="s">
        <v>133</v>
      </c>
      <c r="D68" s="6" t="s">
        <v>142</v>
      </c>
      <c r="E68" s="6" t="s">
        <v>24</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8">
        <v>10</v>
      </c>
      <c r="AZ68" s="8">
        <v>15</v>
      </c>
      <c r="BA68" s="6"/>
      <c r="BB68" s="8">
        <v>25</v>
      </c>
      <c r="BC68" s="6"/>
      <c r="BD68" s="6"/>
      <c r="BE68" s="6"/>
      <c r="BF68" s="6"/>
      <c r="BG68" s="6"/>
      <c r="BH68" s="6"/>
      <c r="BI68" s="6"/>
      <c r="BJ68" s="6"/>
      <c r="BK68" s="6"/>
      <c r="BL68" s="8">
        <v>25</v>
      </c>
      <c r="BM68" s="6"/>
      <c r="BN68" s="6"/>
      <c r="BO68" s="6"/>
      <c r="BP68" s="6"/>
      <c r="BQ68" s="6"/>
      <c r="BR68" s="6"/>
      <c r="BS68" s="6"/>
      <c r="BT68" s="6"/>
      <c r="BU68" s="6"/>
      <c r="BV68" s="6"/>
      <c r="BW68" s="6"/>
      <c r="BX68" s="6"/>
      <c r="BY68" s="6"/>
      <c r="BZ68" s="6"/>
      <c r="CA68" s="6"/>
      <c r="CB68" s="6"/>
      <c r="CC68" s="6"/>
      <c r="CD68" s="6"/>
      <c r="CE68" s="6"/>
      <c r="CF68" s="6"/>
      <c r="CG68" s="9">
        <v>25</v>
      </c>
    </row>
    <row r="69" spans="1:85" x14ac:dyDescent="0.3">
      <c r="A69" s="3" t="str">
        <f t="shared" si="2"/>
        <v>ADDLearningExcellence Awards in Science &amp; Engineering (EASE)Total</v>
      </c>
      <c r="B69" s="6" t="s">
        <v>81</v>
      </c>
      <c r="C69" s="6" t="s">
        <v>133</v>
      </c>
      <c r="D69" s="6" t="s">
        <v>143</v>
      </c>
      <c r="E69" s="6" t="s">
        <v>24</v>
      </c>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8">
        <v>7.64</v>
      </c>
      <c r="BQ69" s="6"/>
      <c r="BR69" s="8">
        <v>7.64</v>
      </c>
      <c r="BS69" s="8">
        <v>7.64</v>
      </c>
      <c r="BT69" s="6"/>
      <c r="BU69" s="6"/>
      <c r="BV69" s="6"/>
      <c r="BW69" s="6"/>
      <c r="BX69" s="6"/>
      <c r="BY69" s="6"/>
      <c r="BZ69" s="6"/>
      <c r="CA69" s="6"/>
      <c r="CB69" s="6"/>
      <c r="CC69" s="6"/>
      <c r="CD69" s="6"/>
      <c r="CE69" s="6"/>
      <c r="CF69" s="6"/>
      <c r="CG69" s="9">
        <v>7.64</v>
      </c>
    </row>
    <row r="70" spans="1:85" x14ac:dyDescent="0.3">
      <c r="A70" s="3" t="str">
        <f t="shared" si="2"/>
        <v>ADDLearningExperiential Learning for Emerging and Novel Technologies (ExLENT)Total</v>
      </c>
      <c r="B70" s="6" t="s">
        <v>81</v>
      </c>
      <c r="C70" s="6" t="s">
        <v>133</v>
      </c>
      <c r="D70" s="6" t="s">
        <v>351</v>
      </c>
      <c r="E70" s="6" t="s">
        <v>24</v>
      </c>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8">
        <v>10</v>
      </c>
      <c r="AX70" s="6"/>
      <c r="AY70" s="8">
        <v>10</v>
      </c>
      <c r="AZ70" s="6"/>
      <c r="BA70" s="6"/>
      <c r="BB70" s="8">
        <v>20</v>
      </c>
      <c r="BC70" s="6"/>
      <c r="BD70" s="6"/>
      <c r="BE70" s="6"/>
      <c r="BF70" s="6"/>
      <c r="BG70" s="6"/>
      <c r="BH70" s="6"/>
      <c r="BI70" s="6"/>
      <c r="BJ70" s="6"/>
      <c r="BK70" s="6"/>
      <c r="BL70" s="8">
        <v>20</v>
      </c>
      <c r="BM70" s="6"/>
      <c r="BN70" s="6"/>
      <c r="BO70" s="6"/>
      <c r="BP70" s="6"/>
      <c r="BQ70" s="6"/>
      <c r="BR70" s="6"/>
      <c r="BS70" s="6"/>
      <c r="BT70" s="6"/>
      <c r="BU70" s="6"/>
      <c r="BV70" s="6"/>
      <c r="BW70" s="6"/>
      <c r="BX70" s="6"/>
      <c r="BY70" s="6"/>
      <c r="BZ70" s="6"/>
      <c r="CA70" s="6"/>
      <c r="CB70" s="6"/>
      <c r="CC70" s="6"/>
      <c r="CD70" s="6"/>
      <c r="CE70" s="6"/>
      <c r="CF70" s="6"/>
      <c r="CG70" s="9">
        <v>20</v>
      </c>
    </row>
    <row r="71" spans="1:85" x14ac:dyDescent="0.3">
      <c r="A71" s="3" t="str">
        <f t="shared" si="2"/>
        <v>ADDLearningGeosciences Disciplinary EducationTotal</v>
      </c>
      <c r="B71" s="6" t="s">
        <v>81</v>
      </c>
      <c r="C71" s="6" t="s">
        <v>133</v>
      </c>
      <c r="D71" s="6" t="s">
        <v>144</v>
      </c>
      <c r="E71" s="6" t="s">
        <v>24</v>
      </c>
      <c r="F71" s="6"/>
      <c r="G71" s="6"/>
      <c r="H71" s="6"/>
      <c r="I71" s="6"/>
      <c r="J71" s="6"/>
      <c r="K71" s="6"/>
      <c r="L71" s="6"/>
      <c r="M71" s="6"/>
      <c r="N71" s="6"/>
      <c r="O71" s="6"/>
      <c r="P71" s="6"/>
      <c r="Q71" s="6"/>
      <c r="R71" s="6"/>
      <c r="S71" s="6"/>
      <c r="T71" s="6"/>
      <c r="U71" s="6"/>
      <c r="V71" s="6"/>
      <c r="W71" s="6"/>
      <c r="X71" s="6"/>
      <c r="Y71" s="6"/>
      <c r="Z71" s="6"/>
      <c r="AA71" s="6"/>
      <c r="AB71" s="8">
        <v>0.14000000000000001</v>
      </c>
      <c r="AC71" s="8">
        <v>0.4</v>
      </c>
      <c r="AD71" s="8">
        <v>0.28000000000000003</v>
      </c>
      <c r="AE71" s="8">
        <v>0.8</v>
      </c>
      <c r="AF71" s="8">
        <v>5</v>
      </c>
      <c r="AG71" s="6"/>
      <c r="AH71" s="8">
        <v>6.62</v>
      </c>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8">
        <v>6.62</v>
      </c>
      <c r="BM71" s="6"/>
      <c r="BN71" s="6"/>
      <c r="BO71" s="6"/>
      <c r="BP71" s="6"/>
      <c r="BQ71" s="6"/>
      <c r="BR71" s="6"/>
      <c r="BS71" s="6"/>
      <c r="BT71" s="6"/>
      <c r="BU71" s="6"/>
      <c r="BV71" s="6"/>
      <c r="BW71" s="6"/>
      <c r="BX71" s="6"/>
      <c r="BY71" s="6"/>
      <c r="BZ71" s="6"/>
      <c r="CA71" s="6"/>
      <c r="CB71" s="6"/>
      <c r="CC71" s="6"/>
      <c r="CD71" s="6"/>
      <c r="CE71" s="6"/>
      <c r="CF71" s="6"/>
      <c r="CG71" s="9">
        <v>6.62</v>
      </c>
    </row>
    <row r="72" spans="1:85" x14ac:dyDescent="0.3">
      <c r="A72" s="3" t="str">
        <f t="shared" si="2"/>
        <v>ADDLearningGeosciences Postdoctoral FellowshipsTotal</v>
      </c>
      <c r="B72" s="6" t="s">
        <v>81</v>
      </c>
      <c r="C72" s="6" t="s">
        <v>133</v>
      </c>
      <c r="D72" s="6" t="s">
        <v>145</v>
      </c>
      <c r="E72" s="6" t="s">
        <v>24</v>
      </c>
      <c r="F72" s="6"/>
      <c r="G72" s="6"/>
      <c r="H72" s="6"/>
      <c r="I72" s="6"/>
      <c r="J72" s="6"/>
      <c r="K72" s="6"/>
      <c r="L72" s="6"/>
      <c r="M72" s="6"/>
      <c r="N72" s="6"/>
      <c r="O72" s="6"/>
      <c r="P72" s="6"/>
      <c r="Q72" s="6"/>
      <c r="R72" s="6"/>
      <c r="S72" s="6"/>
      <c r="T72" s="6"/>
      <c r="U72" s="6"/>
      <c r="V72" s="6"/>
      <c r="W72" s="6"/>
      <c r="X72" s="6"/>
      <c r="Y72" s="6"/>
      <c r="Z72" s="6"/>
      <c r="AA72" s="6"/>
      <c r="AB72" s="8">
        <v>2.5099999999999998</v>
      </c>
      <c r="AC72" s="8">
        <v>5</v>
      </c>
      <c r="AD72" s="8">
        <v>5.83</v>
      </c>
      <c r="AE72" s="8">
        <v>3.8</v>
      </c>
      <c r="AF72" s="6"/>
      <c r="AG72" s="6"/>
      <c r="AH72" s="8">
        <v>17.14</v>
      </c>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8">
        <v>17.14</v>
      </c>
      <c r="BM72" s="6"/>
      <c r="BN72" s="6"/>
      <c r="BO72" s="6"/>
      <c r="BP72" s="6"/>
      <c r="BQ72" s="6"/>
      <c r="BR72" s="6"/>
      <c r="BS72" s="6"/>
      <c r="BT72" s="6"/>
      <c r="BU72" s="6"/>
      <c r="BV72" s="6"/>
      <c r="BW72" s="6"/>
      <c r="BX72" s="6"/>
      <c r="BY72" s="6"/>
      <c r="BZ72" s="6"/>
      <c r="CA72" s="6"/>
      <c r="CB72" s="6"/>
      <c r="CC72" s="6"/>
      <c r="CD72" s="6"/>
      <c r="CE72" s="6"/>
      <c r="CF72" s="6"/>
      <c r="CG72" s="9">
        <v>17.14</v>
      </c>
    </row>
    <row r="73" spans="1:85" x14ac:dyDescent="0.3">
      <c r="A73" s="3" t="str">
        <f t="shared" ref="A73:A136" si="3">CONCATENATE(B73,C73,D73,E73)</f>
        <v>ADDLearningGraduate Research Fellowship Program (GRFP)Total</v>
      </c>
      <c r="B73" s="6" t="s">
        <v>81</v>
      </c>
      <c r="C73" s="6" t="s">
        <v>133</v>
      </c>
      <c r="D73" s="6" t="s">
        <v>146</v>
      </c>
      <c r="E73" s="6" t="s">
        <v>24</v>
      </c>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8">
        <v>0</v>
      </c>
      <c r="BG73" s="8">
        <v>0</v>
      </c>
      <c r="BH73" s="6"/>
      <c r="BI73" s="6"/>
      <c r="BJ73" s="6"/>
      <c r="BK73" s="6"/>
      <c r="BL73" s="8">
        <v>0</v>
      </c>
      <c r="BM73" s="8">
        <v>355.51</v>
      </c>
      <c r="BN73" s="6"/>
      <c r="BO73" s="6"/>
      <c r="BP73" s="6"/>
      <c r="BQ73" s="6"/>
      <c r="BR73" s="8">
        <v>355.51</v>
      </c>
      <c r="BS73" s="8">
        <v>355.51</v>
      </c>
      <c r="BT73" s="6"/>
      <c r="BU73" s="6"/>
      <c r="BV73" s="6"/>
      <c r="BW73" s="6"/>
      <c r="BX73" s="6"/>
      <c r="BY73" s="6"/>
      <c r="BZ73" s="6"/>
      <c r="CA73" s="6"/>
      <c r="CB73" s="6"/>
      <c r="CC73" s="6"/>
      <c r="CD73" s="6"/>
      <c r="CE73" s="6"/>
      <c r="CF73" s="6"/>
      <c r="CG73" s="9">
        <v>355.51</v>
      </c>
    </row>
    <row r="74" spans="1:85" x14ac:dyDescent="0.3">
      <c r="A74" s="3" t="str">
        <f t="shared" si="3"/>
        <v>ADDLearningInternational Research Experiences for Students (IRES)Total</v>
      </c>
      <c r="B74" s="6" t="s">
        <v>81</v>
      </c>
      <c r="C74" s="6" t="s">
        <v>133</v>
      </c>
      <c r="D74" s="6" t="s">
        <v>147</v>
      </c>
      <c r="E74" s="6" t="s">
        <v>24</v>
      </c>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8">
        <v>10</v>
      </c>
      <c r="BD74" s="8">
        <v>10</v>
      </c>
      <c r="BE74" s="6"/>
      <c r="BF74" s="6"/>
      <c r="BG74" s="6"/>
      <c r="BH74" s="6"/>
      <c r="BI74" s="6"/>
      <c r="BJ74" s="6"/>
      <c r="BK74" s="6"/>
      <c r="BL74" s="8">
        <v>10</v>
      </c>
      <c r="BM74" s="6"/>
      <c r="BN74" s="6"/>
      <c r="BO74" s="6"/>
      <c r="BP74" s="6"/>
      <c r="BQ74" s="6"/>
      <c r="BR74" s="6"/>
      <c r="BS74" s="6"/>
      <c r="BT74" s="6"/>
      <c r="BU74" s="6"/>
      <c r="BV74" s="6"/>
      <c r="BW74" s="6"/>
      <c r="BX74" s="6"/>
      <c r="BY74" s="6"/>
      <c r="BZ74" s="6"/>
      <c r="CA74" s="6"/>
      <c r="CB74" s="6"/>
      <c r="CC74" s="6"/>
      <c r="CD74" s="6"/>
      <c r="CE74" s="6"/>
      <c r="CF74" s="6"/>
      <c r="CG74" s="9">
        <v>10</v>
      </c>
    </row>
    <row r="75" spans="1:85" x14ac:dyDescent="0.3">
      <c r="A75" s="3" t="str">
        <f t="shared" si="3"/>
        <v>ADDLearningLearning Stewardship OffsetTotal</v>
      </c>
      <c r="B75" s="6" t="s">
        <v>81</v>
      </c>
      <c r="C75" s="6" t="s">
        <v>133</v>
      </c>
      <c r="D75" s="6" t="s">
        <v>148</v>
      </c>
      <c r="E75" s="6" t="s">
        <v>24</v>
      </c>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8">
        <v>0</v>
      </c>
      <c r="BG75" s="8">
        <v>0</v>
      </c>
      <c r="BH75" s="6"/>
      <c r="BI75" s="6"/>
      <c r="BJ75" s="6"/>
      <c r="BK75" s="6"/>
      <c r="BL75" s="8">
        <v>0</v>
      </c>
      <c r="BM75" s="6"/>
      <c r="BN75" s="6"/>
      <c r="BO75" s="6"/>
      <c r="BP75" s="6"/>
      <c r="BQ75" s="8">
        <v>-13.86</v>
      </c>
      <c r="BR75" s="8">
        <v>-13.86</v>
      </c>
      <c r="BS75" s="8">
        <v>-13.86</v>
      </c>
      <c r="BT75" s="6"/>
      <c r="BU75" s="6"/>
      <c r="BV75" s="6"/>
      <c r="BW75" s="6"/>
      <c r="BX75" s="6"/>
      <c r="BY75" s="6"/>
      <c r="BZ75" s="6"/>
      <c r="CA75" s="6"/>
      <c r="CB75" s="6"/>
      <c r="CC75" s="6"/>
      <c r="CD75" s="6"/>
      <c r="CE75" s="6"/>
      <c r="CF75" s="6"/>
      <c r="CG75" s="9">
        <v>-13.86</v>
      </c>
    </row>
    <row r="76" spans="1:85" x14ac:dyDescent="0.3">
      <c r="A76" s="3" t="str">
        <f t="shared" si="3"/>
        <v>ADDLearningLouis Stokes Alliances for Minority Participation (LSAMP)Total</v>
      </c>
      <c r="B76" s="6" t="s">
        <v>81</v>
      </c>
      <c r="C76" s="6" t="s">
        <v>133</v>
      </c>
      <c r="D76" s="6" t="s">
        <v>149</v>
      </c>
      <c r="E76" s="6" t="s">
        <v>24</v>
      </c>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8">
        <v>70.5</v>
      </c>
      <c r="BQ76" s="6"/>
      <c r="BR76" s="8">
        <v>70.5</v>
      </c>
      <c r="BS76" s="8">
        <v>70.5</v>
      </c>
      <c r="BT76" s="6"/>
      <c r="BU76" s="6"/>
      <c r="BV76" s="6"/>
      <c r="BW76" s="6"/>
      <c r="BX76" s="6"/>
      <c r="BY76" s="6"/>
      <c r="BZ76" s="6"/>
      <c r="CA76" s="6"/>
      <c r="CB76" s="6"/>
      <c r="CC76" s="6"/>
      <c r="CD76" s="6"/>
      <c r="CE76" s="6"/>
      <c r="CF76" s="6"/>
      <c r="CG76" s="9">
        <v>70.5</v>
      </c>
    </row>
    <row r="77" spans="1:85" x14ac:dyDescent="0.3">
      <c r="A77" s="3" t="str">
        <f t="shared" si="3"/>
        <v>ADDLearningMathematical Sciences Postdoctoral Research Fellowships (MSPRF)Total</v>
      </c>
      <c r="B77" s="6" t="s">
        <v>81</v>
      </c>
      <c r="C77" s="6" t="s">
        <v>133</v>
      </c>
      <c r="D77" s="6" t="s">
        <v>150</v>
      </c>
      <c r="E77" s="6" t="s">
        <v>24</v>
      </c>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8">
        <v>9.15</v>
      </c>
      <c r="AM77" s="8">
        <v>6</v>
      </c>
      <c r="AN77" s="6"/>
      <c r="AO77" s="6"/>
      <c r="AP77" s="8">
        <v>15.15</v>
      </c>
      <c r="AQ77" s="6"/>
      <c r="AR77" s="6"/>
      <c r="AS77" s="6"/>
      <c r="AT77" s="6"/>
      <c r="AU77" s="6"/>
      <c r="AV77" s="6"/>
      <c r="AW77" s="6"/>
      <c r="AX77" s="6"/>
      <c r="AY77" s="6"/>
      <c r="AZ77" s="6"/>
      <c r="BA77" s="6"/>
      <c r="BB77" s="6"/>
      <c r="BC77" s="6"/>
      <c r="BD77" s="6"/>
      <c r="BE77" s="6"/>
      <c r="BF77" s="6"/>
      <c r="BG77" s="6"/>
      <c r="BH77" s="6"/>
      <c r="BI77" s="6"/>
      <c r="BJ77" s="6"/>
      <c r="BK77" s="6"/>
      <c r="BL77" s="8">
        <v>15.15</v>
      </c>
      <c r="BM77" s="6"/>
      <c r="BN77" s="6"/>
      <c r="BO77" s="6"/>
      <c r="BP77" s="6"/>
      <c r="BQ77" s="6"/>
      <c r="BR77" s="6"/>
      <c r="BS77" s="6"/>
      <c r="BT77" s="6"/>
      <c r="BU77" s="6"/>
      <c r="BV77" s="6"/>
      <c r="BW77" s="6"/>
      <c r="BX77" s="6"/>
      <c r="BY77" s="6"/>
      <c r="BZ77" s="6"/>
      <c r="CA77" s="6"/>
      <c r="CB77" s="6"/>
      <c r="CC77" s="6"/>
      <c r="CD77" s="6"/>
      <c r="CE77" s="6"/>
      <c r="CF77" s="6"/>
      <c r="CG77" s="9">
        <v>15.15</v>
      </c>
    </row>
    <row r="78" spans="1:85" x14ac:dyDescent="0.3">
      <c r="A78" s="3" t="str">
        <f t="shared" si="3"/>
        <v>ADDLearningMPS ASCEND Postdoctoral Research FellowshipsTotal</v>
      </c>
      <c r="B78" s="6" t="s">
        <v>81</v>
      </c>
      <c r="C78" s="6" t="s">
        <v>133</v>
      </c>
      <c r="D78" s="6" t="s">
        <v>151</v>
      </c>
      <c r="E78" s="6" t="s">
        <v>24</v>
      </c>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8">
        <v>20</v>
      </c>
      <c r="AN78" s="6"/>
      <c r="AO78" s="6"/>
      <c r="AP78" s="8">
        <v>20</v>
      </c>
      <c r="AQ78" s="6"/>
      <c r="AR78" s="6"/>
      <c r="AS78" s="6"/>
      <c r="AT78" s="6"/>
      <c r="AU78" s="6"/>
      <c r="AV78" s="6"/>
      <c r="AW78" s="6"/>
      <c r="AX78" s="6"/>
      <c r="AY78" s="6"/>
      <c r="AZ78" s="6"/>
      <c r="BA78" s="6"/>
      <c r="BB78" s="6"/>
      <c r="BC78" s="6"/>
      <c r="BD78" s="6"/>
      <c r="BE78" s="6"/>
      <c r="BF78" s="6"/>
      <c r="BG78" s="6"/>
      <c r="BH78" s="6"/>
      <c r="BI78" s="6"/>
      <c r="BJ78" s="6"/>
      <c r="BK78" s="6"/>
      <c r="BL78" s="8">
        <v>20</v>
      </c>
      <c r="BM78" s="6"/>
      <c r="BN78" s="6"/>
      <c r="BO78" s="6"/>
      <c r="BP78" s="6"/>
      <c r="BQ78" s="6"/>
      <c r="BR78" s="6"/>
      <c r="BS78" s="6"/>
      <c r="BT78" s="6"/>
      <c r="BU78" s="6"/>
      <c r="BV78" s="6"/>
      <c r="BW78" s="6"/>
      <c r="BX78" s="6"/>
      <c r="BY78" s="6"/>
      <c r="BZ78" s="6"/>
      <c r="CA78" s="6"/>
      <c r="CB78" s="6"/>
      <c r="CC78" s="6"/>
      <c r="CD78" s="6"/>
      <c r="CE78" s="6"/>
      <c r="CF78" s="6"/>
      <c r="CG78" s="9">
        <v>20</v>
      </c>
    </row>
    <row r="79" spans="1:85" x14ac:dyDescent="0.3">
      <c r="A79" s="3" t="str">
        <f t="shared" si="3"/>
        <v>ADDLearningNSF Research Traineeship (NRT)Total</v>
      </c>
      <c r="B79" s="6" t="s">
        <v>81</v>
      </c>
      <c r="C79" s="6" t="s">
        <v>133</v>
      </c>
      <c r="D79" s="6" t="s">
        <v>152</v>
      </c>
      <c r="E79" s="6" t="s">
        <v>24</v>
      </c>
      <c r="F79" s="6"/>
      <c r="G79" s="6"/>
      <c r="H79" s="6"/>
      <c r="I79" s="6"/>
      <c r="J79" s="6"/>
      <c r="K79" s="6"/>
      <c r="L79" s="6"/>
      <c r="M79" s="8">
        <v>0</v>
      </c>
      <c r="N79" s="6"/>
      <c r="O79" s="6"/>
      <c r="P79" s="6"/>
      <c r="Q79" s="6"/>
      <c r="R79" s="6"/>
      <c r="S79" s="8">
        <v>0</v>
      </c>
      <c r="T79" s="6"/>
      <c r="U79" s="6"/>
      <c r="V79" s="6"/>
      <c r="W79" s="8">
        <v>0</v>
      </c>
      <c r="X79" s="6"/>
      <c r="Y79" s="6"/>
      <c r="Z79" s="6"/>
      <c r="AA79" s="8">
        <v>0</v>
      </c>
      <c r="AB79" s="6"/>
      <c r="AC79" s="6"/>
      <c r="AD79" s="6"/>
      <c r="AE79" s="8">
        <v>0</v>
      </c>
      <c r="AF79" s="6"/>
      <c r="AG79" s="6"/>
      <c r="AH79" s="8">
        <v>0</v>
      </c>
      <c r="AI79" s="8">
        <v>0</v>
      </c>
      <c r="AJ79" s="8">
        <v>0</v>
      </c>
      <c r="AK79" s="6"/>
      <c r="AL79" s="8">
        <v>0</v>
      </c>
      <c r="AM79" s="8">
        <v>0</v>
      </c>
      <c r="AN79" s="8">
        <v>0</v>
      </c>
      <c r="AO79" s="6"/>
      <c r="AP79" s="8">
        <v>0</v>
      </c>
      <c r="AQ79" s="8">
        <v>0</v>
      </c>
      <c r="AR79" s="6"/>
      <c r="AS79" s="8">
        <v>0</v>
      </c>
      <c r="AT79" s="8">
        <v>0</v>
      </c>
      <c r="AU79" s="6"/>
      <c r="AV79" s="8">
        <v>0</v>
      </c>
      <c r="AW79" s="6"/>
      <c r="AX79" s="6"/>
      <c r="AY79" s="6"/>
      <c r="AZ79" s="6"/>
      <c r="BA79" s="6"/>
      <c r="BB79" s="6"/>
      <c r="BC79" s="6"/>
      <c r="BD79" s="6"/>
      <c r="BE79" s="6"/>
      <c r="BF79" s="8">
        <v>0</v>
      </c>
      <c r="BG79" s="8">
        <v>0</v>
      </c>
      <c r="BH79" s="6"/>
      <c r="BI79" s="6"/>
      <c r="BJ79" s="6"/>
      <c r="BK79" s="6"/>
      <c r="BL79" s="8">
        <v>0</v>
      </c>
      <c r="BM79" s="8">
        <v>62.5</v>
      </c>
      <c r="BN79" s="6"/>
      <c r="BO79" s="6"/>
      <c r="BP79" s="6"/>
      <c r="BQ79" s="6"/>
      <c r="BR79" s="8">
        <v>62.5</v>
      </c>
      <c r="BS79" s="8">
        <v>62.5</v>
      </c>
      <c r="BT79" s="6"/>
      <c r="BU79" s="6"/>
      <c r="BV79" s="6"/>
      <c r="BW79" s="6"/>
      <c r="BX79" s="6"/>
      <c r="BY79" s="6"/>
      <c r="BZ79" s="6"/>
      <c r="CA79" s="6"/>
      <c r="CB79" s="6"/>
      <c r="CC79" s="6"/>
      <c r="CD79" s="6"/>
      <c r="CE79" s="6"/>
      <c r="CF79" s="6"/>
      <c r="CG79" s="9">
        <v>62.5</v>
      </c>
    </row>
    <row r="80" spans="1:85" x14ac:dyDescent="0.3">
      <c r="A80" s="3" t="str">
        <f t="shared" si="3"/>
        <v>ADDLearningPostdoctoral Research Fellowships in Biology (PRFB)Total</v>
      </c>
      <c r="B80" s="6" t="s">
        <v>81</v>
      </c>
      <c r="C80" s="6" t="s">
        <v>133</v>
      </c>
      <c r="D80" s="6" t="s">
        <v>154</v>
      </c>
      <c r="E80" s="6" t="s">
        <v>24</v>
      </c>
      <c r="F80" s="8">
        <v>17</v>
      </c>
      <c r="G80" s="6"/>
      <c r="H80" s="8">
        <v>6.9</v>
      </c>
      <c r="I80" s="8">
        <v>3</v>
      </c>
      <c r="J80" s="8">
        <v>0</v>
      </c>
      <c r="K80" s="6"/>
      <c r="L80" s="8">
        <v>26.9</v>
      </c>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8">
        <v>26.9</v>
      </c>
      <c r="BM80" s="6"/>
      <c r="BN80" s="6"/>
      <c r="BO80" s="6"/>
      <c r="BP80" s="6"/>
      <c r="BQ80" s="6"/>
      <c r="BR80" s="6"/>
      <c r="BS80" s="6"/>
      <c r="BT80" s="6"/>
      <c r="BU80" s="6"/>
      <c r="BV80" s="6"/>
      <c r="BW80" s="6"/>
      <c r="BX80" s="6"/>
      <c r="BY80" s="6"/>
      <c r="BZ80" s="6"/>
      <c r="CA80" s="6"/>
      <c r="CB80" s="6"/>
      <c r="CC80" s="6"/>
      <c r="CD80" s="6"/>
      <c r="CE80" s="6"/>
      <c r="CF80" s="6"/>
      <c r="CG80" s="9">
        <v>26.9</v>
      </c>
    </row>
    <row r="81" spans="1:85" x14ac:dyDescent="0.3">
      <c r="A81" s="3" t="str">
        <f t="shared" si="3"/>
        <v>ADDLearningResearch and Mentoring for Postbaccalaureates in Biological Sciences (RaMP)Total</v>
      </c>
      <c r="B81" s="6" t="s">
        <v>81</v>
      </c>
      <c r="C81" s="6" t="s">
        <v>133</v>
      </c>
      <c r="D81" s="6" t="s">
        <v>156</v>
      </c>
      <c r="E81" s="6" t="s">
        <v>24</v>
      </c>
      <c r="F81" s="6"/>
      <c r="G81" s="6"/>
      <c r="H81" s="8">
        <v>59.1</v>
      </c>
      <c r="I81" s="6"/>
      <c r="J81" s="6"/>
      <c r="K81" s="6"/>
      <c r="L81" s="8">
        <v>59.1</v>
      </c>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8">
        <v>59.1</v>
      </c>
      <c r="BM81" s="6"/>
      <c r="BN81" s="6"/>
      <c r="BO81" s="6"/>
      <c r="BP81" s="6"/>
      <c r="BQ81" s="6"/>
      <c r="BR81" s="6"/>
      <c r="BS81" s="6"/>
      <c r="BT81" s="6"/>
      <c r="BU81" s="6"/>
      <c r="BV81" s="6"/>
      <c r="BW81" s="6"/>
      <c r="BX81" s="6"/>
      <c r="BY81" s="6"/>
      <c r="BZ81" s="6"/>
      <c r="CA81" s="6"/>
      <c r="CB81" s="6"/>
      <c r="CC81" s="6"/>
      <c r="CD81" s="6"/>
      <c r="CE81" s="6"/>
      <c r="CF81" s="6"/>
      <c r="CG81" s="9">
        <v>59.1</v>
      </c>
    </row>
    <row r="82" spans="1:85" x14ac:dyDescent="0.3">
      <c r="A82" s="3" t="str">
        <f t="shared" si="3"/>
        <v>ADDLearningResearch Experiences for Teachers (RET)Total</v>
      </c>
      <c r="B82" s="6" t="s">
        <v>81</v>
      </c>
      <c r="C82" s="6" t="s">
        <v>133</v>
      </c>
      <c r="D82" s="6" t="s">
        <v>157</v>
      </c>
      <c r="E82" s="6" t="s">
        <v>24</v>
      </c>
      <c r="F82" s="8">
        <v>1</v>
      </c>
      <c r="G82" s="8">
        <v>1</v>
      </c>
      <c r="H82" s="8">
        <v>2</v>
      </c>
      <c r="I82" s="8">
        <v>1</v>
      </c>
      <c r="J82" s="8">
        <v>1</v>
      </c>
      <c r="K82" s="6"/>
      <c r="L82" s="8">
        <v>6</v>
      </c>
      <c r="M82" s="8">
        <v>0.6</v>
      </c>
      <c r="N82" s="8">
        <v>0.6</v>
      </c>
      <c r="O82" s="8">
        <v>0.6</v>
      </c>
      <c r="P82" s="6"/>
      <c r="Q82" s="6"/>
      <c r="R82" s="6"/>
      <c r="S82" s="8">
        <v>1.8</v>
      </c>
      <c r="T82" s="6"/>
      <c r="U82" s="6"/>
      <c r="V82" s="6"/>
      <c r="W82" s="8">
        <v>5.4</v>
      </c>
      <c r="X82" s="6"/>
      <c r="Y82" s="6"/>
      <c r="Z82" s="6"/>
      <c r="AA82" s="8">
        <v>5.4</v>
      </c>
      <c r="AB82" s="6"/>
      <c r="AC82" s="6"/>
      <c r="AD82" s="6"/>
      <c r="AE82" s="6"/>
      <c r="AF82" s="8">
        <v>0</v>
      </c>
      <c r="AG82" s="6"/>
      <c r="AH82" s="8">
        <v>0</v>
      </c>
      <c r="AI82" s="6"/>
      <c r="AJ82" s="8">
        <v>0.02</v>
      </c>
      <c r="AK82" s="8">
        <v>0</v>
      </c>
      <c r="AL82" s="6"/>
      <c r="AM82" s="6"/>
      <c r="AN82" s="8">
        <v>0.1</v>
      </c>
      <c r="AO82" s="6"/>
      <c r="AP82" s="8">
        <v>0.12</v>
      </c>
      <c r="AQ82" s="6"/>
      <c r="AR82" s="6"/>
      <c r="AS82" s="6"/>
      <c r="AT82" s="6"/>
      <c r="AU82" s="6"/>
      <c r="AV82" s="6"/>
      <c r="AW82" s="6"/>
      <c r="AX82" s="6"/>
      <c r="AY82" s="6"/>
      <c r="AZ82" s="6"/>
      <c r="BA82" s="6"/>
      <c r="BB82" s="6"/>
      <c r="BC82" s="6"/>
      <c r="BD82" s="6"/>
      <c r="BE82" s="6"/>
      <c r="BF82" s="6"/>
      <c r="BG82" s="6"/>
      <c r="BH82" s="6"/>
      <c r="BI82" s="6"/>
      <c r="BJ82" s="6"/>
      <c r="BK82" s="6"/>
      <c r="BL82" s="8">
        <v>13.32</v>
      </c>
      <c r="BM82" s="6"/>
      <c r="BN82" s="6"/>
      <c r="BO82" s="6"/>
      <c r="BP82" s="6"/>
      <c r="BQ82" s="6"/>
      <c r="BR82" s="6"/>
      <c r="BS82" s="6"/>
      <c r="BT82" s="6"/>
      <c r="BU82" s="6"/>
      <c r="BV82" s="6"/>
      <c r="BW82" s="6"/>
      <c r="BX82" s="6"/>
      <c r="BY82" s="6"/>
      <c r="BZ82" s="6"/>
      <c r="CA82" s="6"/>
      <c r="CB82" s="6"/>
      <c r="CC82" s="6"/>
      <c r="CD82" s="6"/>
      <c r="CE82" s="6"/>
      <c r="CF82" s="6"/>
      <c r="CG82" s="9">
        <v>13.32</v>
      </c>
    </row>
    <row r="83" spans="1:85" x14ac:dyDescent="0.3">
      <c r="A83" s="3" t="str">
        <f t="shared" si="3"/>
        <v>ADDLearningResearch Experiences for Undergraduates (REU) SitesTotal</v>
      </c>
      <c r="B83" s="6" t="s">
        <v>81</v>
      </c>
      <c r="C83" s="6" t="s">
        <v>133</v>
      </c>
      <c r="D83" s="6" t="s">
        <v>158</v>
      </c>
      <c r="E83" s="6" t="s">
        <v>24</v>
      </c>
      <c r="F83" s="8">
        <v>13</v>
      </c>
      <c r="G83" s="6"/>
      <c r="H83" s="6"/>
      <c r="I83" s="8">
        <v>0</v>
      </c>
      <c r="J83" s="8">
        <v>0</v>
      </c>
      <c r="K83" s="6"/>
      <c r="L83" s="8">
        <v>13</v>
      </c>
      <c r="M83" s="8">
        <v>3</v>
      </c>
      <c r="N83" s="8">
        <v>3</v>
      </c>
      <c r="O83" s="8">
        <v>3</v>
      </c>
      <c r="P83" s="6"/>
      <c r="Q83" s="8">
        <v>1</v>
      </c>
      <c r="R83" s="6"/>
      <c r="S83" s="8">
        <v>10</v>
      </c>
      <c r="T83" s="6"/>
      <c r="U83" s="6"/>
      <c r="V83" s="6"/>
      <c r="W83" s="8">
        <v>13.5</v>
      </c>
      <c r="X83" s="6"/>
      <c r="Y83" s="6"/>
      <c r="Z83" s="6"/>
      <c r="AA83" s="8">
        <v>13.5</v>
      </c>
      <c r="AB83" s="8">
        <v>1.9</v>
      </c>
      <c r="AC83" s="8">
        <v>3.5</v>
      </c>
      <c r="AD83" s="8">
        <v>4.3</v>
      </c>
      <c r="AE83" s="8">
        <v>0.2</v>
      </c>
      <c r="AF83" s="8">
        <v>0</v>
      </c>
      <c r="AG83" s="6"/>
      <c r="AH83" s="8">
        <v>9.9</v>
      </c>
      <c r="AI83" s="8">
        <v>2</v>
      </c>
      <c r="AJ83" s="8">
        <v>4</v>
      </c>
      <c r="AK83" s="8">
        <v>2.5</v>
      </c>
      <c r="AL83" s="8">
        <v>4.5</v>
      </c>
      <c r="AM83" s="8">
        <v>0</v>
      </c>
      <c r="AN83" s="8">
        <v>4.42</v>
      </c>
      <c r="AO83" s="6"/>
      <c r="AP83" s="8">
        <v>17.420000000000002</v>
      </c>
      <c r="AQ83" s="6"/>
      <c r="AR83" s="6"/>
      <c r="AS83" s="8">
        <v>3</v>
      </c>
      <c r="AT83" s="6"/>
      <c r="AU83" s="6"/>
      <c r="AV83" s="8">
        <v>3</v>
      </c>
      <c r="AW83" s="6"/>
      <c r="AX83" s="6"/>
      <c r="AY83" s="6"/>
      <c r="AZ83" s="6"/>
      <c r="BA83" s="6"/>
      <c r="BB83" s="6"/>
      <c r="BC83" s="6"/>
      <c r="BD83" s="6"/>
      <c r="BE83" s="6"/>
      <c r="BF83" s="6"/>
      <c r="BG83" s="6"/>
      <c r="BH83" s="6"/>
      <c r="BI83" s="6"/>
      <c r="BJ83" s="6"/>
      <c r="BK83" s="6"/>
      <c r="BL83" s="8">
        <v>66.819999999999993</v>
      </c>
      <c r="BM83" s="6"/>
      <c r="BN83" s="6"/>
      <c r="BO83" s="6"/>
      <c r="BP83" s="6"/>
      <c r="BQ83" s="6"/>
      <c r="BR83" s="6"/>
      <c r="BS83" s="6"/>
      <c r="BT83" s="6"/>
      <c r="BU83" s="6"/>
      <c r="BV83" s="6"/>
      <c r="BW83" s="6"/>
      <c r="BX83" s="6"/>
      <c r="BY83" s="6"/>
      <c r="BZ83" s="6"/>
      <c r="CA83" s="6"/>
      <c r="CB83" s="6"/>
      <c r="CC83" s="6"/>
      <c r="CD83" s="6"/>
      <c r="CE83" s="6"/>
      <c r="CF83" s="6"/>
      <c r="CG83" s="9">
        <v>66.819999999999993</v>
      </c>
    </row>
    <row r="84" spans="1:85" x14ac:dyDescent="0.3">
      <c r="A84" s="3" t="str">
        <f t="shared" si="3"/>
        <v>ADDLearningResearch Experiences for Undergraduates (REU) SupplementsTotal</v>
      </c>
      <c r="B84" s="6" t="s">
        <v>81</v>
      </c>
      <c r="C84" s="6" t="s">
        <v>133</v>
      </c>
      <c r="D84" s="6" t="s">
        <v>159</v>
      </c>
      <c r="E84" s="6" t="s">
        <v>24</v>
      </c>
      <c r="F84" s="8">
        <v>0</v>
      </c>
      <c r="G84" s="8">
        <v>1.5</v>
      </c>
      <c r="H84" s="6"/>
      <c r="I84" s="8">
        <v>0.8</v>
      </c>
      <c r="J84" s="8">
        <v>1</v>
      </c>
      <c r="K84" s="6"/>
      <c r="L84" s="8">
        <v>3.3</v>
      </c>
      <c r="M84" s="8">
        <v>1.2</v>
      </c>
      <c r="N84" s="8">
        <v>2</v>
      </c>
      <c r="O84" s="8">
        <v>1.6</v>
      </c>
      <c r="P84" s="8">
        <v>0</v>
      </c>
      <c r="Q84" s="8">
        <v>0.2</v>
      </c>
      <c r="R84" s="6"/>
      <c r="S84" s="8">
        <v>5</v>
      </c>
      <c r="T84" s="8">
        <v>1.5</v>
      </c>
      <c r="U84" s="8">
        <v>2.4</v>
      </c>
      <c r="V84" s="8">
        <v>0.92</v>
      </c>
      <c r="W84" s="8">
        <v>0.3</v>
      </c>
      <c r="X84" s="8">
        <v>0.12</v>
      </c>
      <c r="Y84" s="8">
        <v>0</v>
      </c>
      <c r="Z84" s="6"/>
      <c r="AA84" s="8">
        <v>5.24</v>
      </c>
      <c r="AB84" s="8">
        <v>0.13</v>
      </c>
      <c r="AC84" s="8">
        <v>0.3</v>
      </c>
      <c r="AD84" s="8">
        <v>0.55000000000000004</v>
      </c>
      <c r="AE84" s="8">
        <v>0.2</v>
      </c>
      <c r="AF84" s="6"/>
      <c r="AG84" s="6"/>
      <c r="AH84" s="8">
        <v>1.18</v>
      </c>
      <c r="AI84" s="8">
        <v>0.2</v>
      </c>
      <c r="AJ84" s="8">
        <v>0.5</v>
      </c>
      <c r="AK84" s="8">
        <v>0</v>
      </c>
      <c r="AL84" s="8">
        <v>0.5</v>
      </c>
      <c r="AM84" s="6"/>
      <c r="AN84" s="8">
        <v>0.4</v>
      </c>
      <c r="AO84" s="6"/>
      <c r="AP84" s="8">
        <v>1.6</v>
      </c>
      <c r="AQ84" s="8">
        <v>0.44</v>
      </c>
      <c r="AR84" s="6"/>
      <c r="AS84" s="8">
        <v>0.06</v>
      </c>
      <c r="AT84" s="8">
        <v>0.5</v>
      </c>
      <c r="AU84" s="6"/>
      <c r="AV84" s="8">
        <v>1</v>
      </c>
      <c r="AW84" s="6"/>
      <c r="AX84" s="6"/>
      <c r="AY84" s="6"/>
      <c r="AZ84" s="6"/>
      <c r="BA84" s="6"/>
      <c r="BB84" s="6"/>
      <c r="BC84" s="6"/>
      <c r="BD84" s="6"/>
      <c r="BE84" s="6"/>
      <c r="BF84" s="6"/>
      <c r="BG84" s="6"/>
      <c r="BH84" s="6"/>
      <c r="BI84" s="6"/>
      <c r="BJ84" s="6"/>
      <c r="BK84" s="6"/>
      <c r="BL84" s="8">
        <v>17.32</v>
      </c>
      <c r="BM84" s="6"/>
      <c r="BN84" s="6"/>
      <c r="BO84" s="6"/>
      <c r="BP84" s="6"/>
      <c r="BQ84" s="6"/>
      <c r="BR84" s="6"/>
      <c r="BS84" s="6"/>
      <c r="BT84" s="6"/>
      <c r="BU84" s="6"/>
      <c r="BV84" s="6"/>
      <c r="BW84" s="6"/>
      <c r="BX84" s="6"/>
      <c r="BY84" s="6"/>
      <c r="BZ84" s="6"/>
      <c r="CA84" s="6"/>
      <c r="CB84" s="6"/>
      <c r="CC84" s="6"/>
      <c r="CD84" s="6"/>
      <c r="CE84" s="6"/>
      <c r="CF84" s="6"/>
      <c r="CG84" s="9">
        <v>17.32</v>
      </c>
    </row>
    <row r="85" spans="1:85" x14ac:dyDescent="0.3">
      <c r="A85" s="3" t="str">
        <f t="shared" si="3"/>
        <v>ADDLearningResearch Investment Communications (RIC)Total</v>
      </c>
      <c r="B85" s="6" t="s">
        <v>81</v>
      </c>
      <c r="C85" s="6" t="s">
        <v>133</v>
      </c>
      <c r="D85" s="6" t="s">
        <v>160</v>
      </c>
      <c r="E85" s="6" t="s">
        <v>24</v>
      </c>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8">
        <v>5.4</v>
      </c>
      <c r="BG85" s="8">
        <v>5.4</v>
      </c>
      <c r="BH85" s="6"/>
      <c r="BI85" s="6"/>
      <c r="BJ85" s="6"/>
      <c r="BK85" s="6"/>
      <c r="BL85" s="8">
        <v>5.4</v>
      </c>
      <c r="BM85" s="6"/>
      <c r="BN85" s="6"/>
      <c r="BO85" s="6"/>
      <c r="BP85" s="6"/>
      <c r="BQ85" s="6"/>
      <c r="BR85" s="6"/>
      <c r="BS85" s="6"/>
      <c r="BT85" s="6"/>
      <c r="BU85" s="6"/>
      <c r="BV85" s="6"/>
      <c r="BW85" s="6"/>
      <c r="BX85" s="6"/>
      <c r="BY85" s="6"/>
      <c r="BZ85" s="6"/>
      <c r="CA85" s="6"/>
      <c r="CB85" s="6"/>
      <c r="CC85" s="6"/>
      <c r="CD85" s="6"/>
      <c r="CE85" s="6"/>
      <c r="CF85" s="6"/>
      <c r="CG85" s="9">
        <v>5.4</v>
      </c>
    </row>
    <row r="86" spans="1:85" x14ac:dyDescent="0.3">
      <c r="A86" s="3" t="str">
        <f t="shared" si="3"/>
        <v>ADDLearningRobert Noyce Teacher Scholarship Program (NOYCE)Total</v>
      </c>
      <c r="B86" s="6" t="s">
        <v>81</v>
      </c>
      <c r="C86" s="6" t="s">
        <v>133</v>
      </c>
      <c r="D86" s="6" t="s">
        <v>161</v>
      </c>
      <c r="E86" s="6" t="s">
        <v>24</v>
      </c>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8">
        <v>67</v>
      </c>
      <c r="BP86" s="6"/>
      <c r="BQ86" s="6"/>
      <c r="BR86" s="8">
        <v>67</v>
      </c>
      <c r="BS86" s="8">
        <v>67</v>
      </c>
      <c r="BT86" s="6"/>
      <c r="BU86" s="6"/>
      <c r="BV86" s="6"/>
      <c r="BW86" s="6"/>
      <c r="BX86" s="6"/>
      <c r="BY86" s="6"/>
      <c r="BZ86" s="6"/>
      <c r="CA86" s="6"/>
      <c r="CB86" s="6"/>
      <c r="CC86" s="6"/>
      <c r="CD86" s="6"/>
      <c r="CE86" s="6"/>
      <c r="CF86" s="6"/>
      <c r="CG86" s="9">
        <v>67</v>
      </c>
    </row>
    <row r="87" spans="1:85" x14ac:dyDescent="0.3">
      <c r="A87" s="3" t="str">
        <f t="shared" si="3"/>
        <v>ADDLearningRobert Noyce Teacher Scholarship Program (NOYCE)Noyce Scholarships</v>
      </c>
      <c r="B87" s="6" t="s">
        <v>81</v>
      </c>
      <c r="C87" s="6" t="s">
        <v>133</v>
      </c>
      <c r="D87" s="6" t="s">
        <v>161</v>
      </c>
      <c r="E87" s="6" t="s">
        <v>162</v>
      </c>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8">
        <v>47</v>
      </c>
      <c r="BP87" s="6"/>
      <c r="BQ87" s="6"/>
      <c r="BR87" s="8">
        <v>47</v>
      </c>
      <c r="BS87" s="8">
        <v>47</v>
      </c>
      <c r="BT87" s="6"/>
      <c r="BU87" s="6"/>
      <c r="BV87" s="6"/>
      <c r="BW87" s="6"/>
      <c r="BX87" s="6"/>
      <c r="BY87" s="6"/>
      <c r="BZ87" s="6"/>
      <c r="CA87" s="6"/>
      <c r="CB87" s="6"/>
      <c r="CC87" s="6"/>
      <c r="CD87" s="6"/>
      <c r="CE87" s="6"/>
      <c r="CF87" s="6"/>
      <c r="CG87" s="9">
        <v>47</v>
      </c>
    </row>
    <row r="88" spans="1:85" x14ac:dyDescent="0.3">
      <c r="A88" s="3" t="str">
        <f t="shared" si="3"/>
        <v>ADDLearningRobert Noyce Teacher Scholarship Program (NOYCE)Noyce Teaching &amp; Master Teaching Fellows (10A)</v>
      </c>
      <c r="B88" s="6" t="s">
        <v>81</v>
      </c>
      <c r="C88" s="6" t="s">
        <v>133</v>
      </c>
      <c r="D88" s="6" t="s">
        <v>161</v>
      </c>
      <c r="E88" s="6" t="s">
        <v>163</v>
      </c>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8">
        <v>20</v>
      </c>
      <c r="BP88" s="6"/>
      <c r="BQ88" s="6"/>
      <c r="BR88" s="8">
        <v>20</v>
      </c>
      <c r="BS88" s="8">
        <v>20</v>
      </c>
      <c r="BT88" s="6"/>
      <c r="BU88" s="6"/>
      <c r="BV88" s="6"/>
      <c r="BW88" s="6"/>
      <c r="BX88" s="6"/>
      <c r="BY88" s="6"/>
      <c r="BZ88" s="6"/>
      <c r="CA88" s="6"/>
      <c r="CB88" s="6"/>
      <c r="CC88" s="6"/>
      <c r="CD88" s="6"/>
      <c r="CE88" s="6"/>
      <c r="CF88" s="6"/>
      <c r="CG88" s="9">
        <v>20</v>
      </c>
    </row>
    <row r="89" spans="1:85" x14ac:dyDescent="0.3">
      <c r="A89" s="3" t="str">
        <f t="shared" si="3"/>
        <v>ADDLearningSPRF - Fundamental Research (SPRF-FR)Total</v>
      </c>
      <c r="B89" s="6" t="s">
        <v>81</v>
      </c>
      <c r="C89" s="6" t="s">
        <v>133</v>
      </c>
      <c r="D89" s="6" t="s">
        <v>164</v>
      </c>
      <c r="E89" s="6" t="s">
        <v>24</v>
      </c>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8">
        <v>3</v>
      </c>
      <c r="AT89" s="6"/>
      <c r="AU89" s="6"/>
      <c r="AV89" s="8">
        <v>3</v>
      </c>
      <c r="AW89" s="6"/>
      <c r="AX89" s="6"/>
      <c r="AY89" s="6"/>
      <c r="AZ89" s="6"/>
      <c r="BA89" s="6"/>
      <c r="BB89" s="6"/>
      <c r="BC89" s="6"/>
      <c r="BD89" s="6"/>
      <c r="BE89" s="6"/>
      <c r="BF89" s="6"/>
      <c r="BG89" s="6"/>
      <c r="BH89" s="6"/>
      <c r="BI89" s="6"/>
      <c r="BJ89" s="6"/>
      <c r="BK89" s="6"/>
      <c r="BL89" s="8">
        <v>3</v>
      </c>
      <c r="BM89" s="6"/>
      <c r="BN89" s="6"/>
      <c r="BO89" s="6"/>
      <c r="BP89" s="6"/>
      <c r="BQ89" s="6"/>
      <c r="BR89" s="6"/>
      <c r="BS89" s="6"/>
      <c r="BT89" s="6"/>
      <c r="BU89" s="6"/>
      <c r="BV89" s="6"/>
      <c r="BW89" s="6"/>
      <c r="BX89" s="6"/>
      <c r="BY89" s="6"/>
      <c r="BZ89" s="6"/>
      <c r="CA89" s="6"/>
      <c r="CB89" s="6"/>
      <c r="CC89" s="6"/>
      <c r="CD89" s="6"/>
      <c r="CE89" s="6"/>
      <c r="CF89" s="6"/>
      <c r="CG89" s="9">
        <v>3</v>
      </c>
    </row>
    <row r="90" spans="1:85" x14ac:dyDescent="0.3">
      <c r="A90" s="3" t="str">
        <f t="shared" si="3"/>
        <v>ADDLearningSPRF-Broadening ParticipationTotal</v>
      </c>
      <c r="B90" s="6" t="s">
        <v>81</v>
      </c>
      <c r="C90" s="6" t="s">
        <v>133</v>
      </c>
      <c r="D90" s="6" t="s">
        <v>165</v>
      </c>
      <c r="E90" s="6" t="s">
        <v>24</v>
      </c>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8">
        <v>6</v>
      </c>
      <c r="AT90" s="6"/>
      <c r="AU90" s="6"/>
      <c r="AV90" s="8">
        <v>6</v>
      </c>
      <c r="AW90" s="6"/>
      <c r="AX90" s="6"/>
      <c r="AY90" s="6"/>
      <c r="AZ90" s="6"/>
      <c r="BA90" s="6"/>
      <c r="BB90" s="6"/>
      <c r="BC90" s="6"/>
      <c r="BD90" s="6"/>
      <c r="BE90" s="6"/>
      <c r="BF90" s="6"/>
      <c r="BG90" s="6"/>
      <c r="BH90" s="6"/>
      <c r="BI90" s="6"/>
      <c r="BJ90" s="6"/>
      <c r="BK90" s="6"/>
      <c r="BL90" s="8">
        <v>6</v>
      </c>
      <c r="BM90" s="6"/>
      <c r="BN90" s="6"/>
      <c r="BO90" s="6"/>
      <c r="BP90" s="6"/>
      <c r="BQ90" s="6"/>
      <c r="BR90" s="6"/>
      <c r="BS90" s="6"/>
      <c r="BT90" s="6"/>
      <c r="BU90" s="6"/>
      <c r="BV90" s="6"/>
      <c r="BW90" s="6"/>
      <c r="BX90" s="6"/>
      <c r="BY90" s="6"/>
      <c r="BZ90" s="6"/>
      <c r="CA90" s="6"/>
      <c r="CB90" s="6"/>
      <c r="CC90" s="6"/>
      <c r="CD90" s="6"/>
      <c r="CE90" s="6"/>
      <c r="CF90" s="6"/>
      <c r="CG90" s="9">
        <v>6</v>
      </c>
    </row>
    <row r="91" spans="1:85" x14ac:dyDescent="0.3">
      <c r="A91" s="3" t="str">
        <f t="shared" si="3"/>
        <v>ADDLearningSTEM ED Postdoctoral Research FellowshipsTotal</v>
      </c>
      <c r="B91" s="6" t="s">
        <v>81</v>
      </c>
      <c r="C91" s="6" t="s">
        <v>133</v>
      </c>
      <c r="D91" s="6" t="s">
        <v>352</v>
      </c>
      <c r="E91" s="6" t="s">
        <v>24</v>
      </c>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8">
        <v>5</v>
      </c>
      <c r="BN91" s="6"/>
      <c r="BO91" s="6"/>
      <c r="BP91" s="6"/>
      <c r="BQ91" s="6"/>
      <c r="BR91" s="8">
        <v>5</v>
      </c>
      <c r="BS91" s="8">
        <v>5</v>
      </c>
      <c r="BT91" s="6"/>
      <c r="BU91" s="6"/>
      <c r="BV91" s="6"/>
      <c r="BW91" s="6"/>
      <c r="BX91" s="6"/>
      <c r="BY91" s="6"/>
      <c r="BZ91" s="6"/>
      <c r="CA91" s="6"/>
      <c r="CB91" s="6"/>
      <c r="CC91" s="6"/>
      <c r="CD91" s="6"/>
      <c r="CE91" s="6"/>
      <c r="CF91" s="6"/>
      <c r="CG91" s="9">
        <v>5</v>
      </c>
    </row>
    <row r="92" spans="1:85" x14ac:dyDescent="0.3">
      <c r="A92" s="3" t="str">
        <f t="shared" si="3"/>
        <v>ADDOrganizational Excellence - Program SupportTotalTotal</v>
      </c>
      <c r="B92" s="6" t="s">
        <v>81</v>
      </c>
      <c r="C92" s="6" t="s">
        <v>166</v>
      </c>
      <c r="D92" s="6" t="s">
        <v>24</v>
      </c>
      <c r="E92" s="6" t="s">
        <v>24</v>
      </c>
      <c r="F92" s="8">
        <v>4.17</v>
      </c>
      <c r="G92" s="8">
        <v>3.87</v>
      </c>
      <c r="H92" s="8">
        <v>2.29</v>
      </c>
      <c r="I92" s="8">
        <v>4.47</v>
      </c>
      <c r="J92" s="8">
        <v>2.82</v>
      </c>
      <c r="K92" s="6"/>
      <c r="L92" s="8">
        <v>17.62</v>
      </c>
      <c r="M92" s="8">
        <v>4.84</v>
      </c>
      <c r="N92" s="8">
        <v>8.0299999999999994</v>
      </c>
      <c r="O92" s="8">
        <v>6.08</v>
      </c>
      <c r="P92" s="8">
        <v>3.79</v>
      </c>
      <c r="Q92" s="8">
        <v>7.73</v>
      </c>
      <c r="R92" s="6"/>
      <c r="S92" s="8">
        <v>30.47</v>
      </c>
      <c r="T92" s="8">
        <v>5.45</v>
      </c>
      <c r="U92" s="8">
        <v>6.57</v>
      </c>
      <c r="V92" s="8">
        <v>4.78</v>
      </c>
      <c r="W92" s="8">
        <v>4.1900000000000004</v>
      </c>
      <c r="X92" s="8">
        <v>2.4500000000000002</v>
      </c>
      <c r="Y92" s="8">
        <v>0</v>
      </c>
      <c r="Z92" s="6"/>
      <c r="AA92" s="8">
        <v>23.44</v>
      </c>
      <c r="AB92" s="8">
        <v>5.58</v>
      </c>
      <c r="AC92" s="8">
        <v>4.78</v>
      </c>
      <c r="AD92" s="8">
        <v>8.6199999999999992</v>
      </c>
      <c r="AE92" s="8">
        <v>8.5399999999999991</v>
      </c>
      <c r="AF92" s="8">
        <v>7.12</v>
      </c>
      <c r="AG92" s="6"/>
      <c r="AH92" s="8">
        <v>34.64</v>
      </c>
      <c r="AI92" s="8">
        <v>5</v>
      </c>
      <c r="AJ92" s="8">
        <v>5.65</v>
      </c>
      <c r="AK92" s="8">
        <v>6.65</v>
      </c>
      <c r="AL92" s="8">
        <v>5.3</v>
      </c>
      <c r="AM92" s="8">
        <v>4.07</v>
      </c>
      <c r="AN92" s="8">
        <v>5.67</v>
      </c>
      <c r="AO92" s="6"/>
      <c r="AP92" s="8">
        <v>32.340000000000003</v>
      </c>
      <c r="AQ92" s="8">
        <v>2.86</v>
      </c>
      <c r="AR92" s="8">
        <v>0.92</v>
      </c>
      <c r="AS92" s="8">
        <v>0.85</v>
      </c>
      <c r="AT92" s="8">
        <v>3.19</v>
      </c>
      <c r="AU92" s="6"/>
      <c r="AV92" s="8">
        <v>7.82</v>
      </c>
      <c r="AW92" s="8">
        <v>8.5500000000000007</v>
      </c>
      <c r="AX92" s="8">
        <v>0.63</v>
      </c>
      <c r="AY92" s="8">
        <v>1.79</v>
      </c>
      <c r="AZ92" s="8">
        <v>3.67</v>
      </c>
      <c r="BA92" s="6"/>
      <c r="BB92" s="8">
        <v>14.64</v>
      </c>
      <c r="BC92" s="8">
        <v>1.79</v>
      </c>
      <c r="BD92" s="8">
        <v>1.79</v>
      </c>
      <c r="BE92" s="8">
        <v>4.49</v>
      </c>
      <c r="BF92" s="8">
        <v>23.41</v>
      </c>
      <c r="BG92" s="8">
        <v>27.9</v>
      </c>
      <c r="BH92" s="6"/>
      <c r="BI92" s="6"/>
      <c r="BJ92" s="6"/>
      <c r="BK92" s="6"/>
      <c r="BL92" s="8">
        <v>190.66</v>
      </c>
      <c r="BM92" s="6"/>
      <c r="BN92" s="6"/>
      <c r="BO92" s="6"/>
      <c r="BP92" s="6"/>
      <c r="BQ92" s="8">
        <v>25.5</v>
      </c>
      <c r="BR92" s="8">
        <v>25.5</v>
      </c>
      <c r="BS92" s="8">
        <v>25.5</v>
      </c>
      <c r="BT92" s="8">
        <v>1</v>
      </c>
      <c r="BU92" s="8">
        <v>1</v>
      </c>
      <c r="BV92" s="8">
        <v>1</v>
      </c>
      <c r="BW92" s="8">
        <v>473.2</v>
      </c>
      <c r="BX92" s="6"/>
      <c r="BY92" s="8">
        <v>473.2</v>
      </c>
      <c r="BZ92" s="8">
        <v>473.2</v>
      </c>
      <c r="CA92" s="8">
        <v>23.393000000000001</v>
      </c>
      <c r="CB92" s="8">
        <v>23.393000000000001</v>
      </c>
      <c r="CC92" s="8">
        <v>23.393000000000001</v>
      </c>
      <c r="CD92" s="8">
        <v>5.09</v>
      </c>
      <c r="CE92" s="8">
        <v>5.09</v>
      </c>
      <c r="CF92" s="8">
        <v>5.09</v>
      </c>
      <c r="CG92" s="9">
        <v>718.84299999999996</v>
      </c>
    </row>
    <row r="93" spans="1:85" x14ac:dyDescent="0.3">
      <c r="A93" s="3" t="str">
        <f t="shared" si="3"/>
        <v>ADDOrganizational Excellence - Program SupportEquity and Compliance in ResearchTotal</v>
      </c>
      <c r="B93" s="6" t="s">
        <v>81</v>
      </c>
      <c r="C93" s="6" t="s">
        <v>166</v>
      </c>
      <c r="D93" s="6" t="s">
        <v>353</v>
      </c>
      <c r="E93" s="6" t="s">
        <v>24</v>
      </c>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8">
        <v>4</v>
      </c>
      <c r="BG93" s="8">
        <v>4</v>
      </c>
      <c r="BH93" s="6"/>
      <c r="BI93" s="6"/>
      <c r="BJ93" s="6"/>
      <c r="BK93" s="6"/>
      <c r="BL93" s="8">
        <v>4</v>
      </c>
      <c r="BM93" s="6"/>
      <c r="BN93" s="6"/>
      <c r="BO93" s="6"/>
      <c r="BP93" s="6"/>
      <c r="BQ93" s="6"/>
      <c r="BR93" s="6"/>
      <c r="BS93" s="6"/>
      <c r="BT93" s="6"/>
      <c r="BU93" s="6"/>
      <c r="BV93" s="6"/>
      <c r="BW93" s="6"/>
      <c r="BX93" s="6"/>
      <c r="BY93" s="6"/>
      <c r="BZ93" s="6"/>
      <c r="CA93" s="6"/>
      <c r="CB93" s="6"/>
      <c r="CC93" s="6"/>
      <c r="CD93" s="6"/>
      <c r="CE93" s="6"/>
      <c r="CF93" s="6"/>
      <c r="CG93" s="9">
        <v>4</v>
      </c>
    </row>
    <row r="94" spans="1:85" x14ac:dyDescent="0.3">
      <c r="A94" s="3" t="str">
        <f t="shared" si="3"/>
        <v>ADDOrganizational Excellence - Program SupportEvaluation and Assessment CapabilityTotal</v>
      </c>
      <c r="B94" s="6" t="s">
        <v>81</v>
      </c>
      <c r="C94" s="6" t="s">
        <v>166</v>
      </c>
      <c r="D94" s="6" t="s">
        <v>167</v>
      </c>
      <c r="E94" s="6" t="s">
        <v>24</v>
      </c>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8">
        <v>7</v>
      </c>
      <c r="BG94" s="8">
        <v>7</v>
      </c>
      <c r="BH94" s="6"/>
      <c r="BI94" s="6"/>
      <c r="BJ94" s="6"/>
      <c r="BK94" s="6"/>
      <c r="BL94" s="8">
        <v>7</v>
      </c>
      <c r="BM94" s="6"/>
      <c r="BN94" s="6"/>
      <c r="BO94" s="6"/>
      <c r="BP94" s="6"/>
      <c r="BQ94" s="6"/>
      <c r="BR94" s="6"/>
      <c r="BS94" s="6"/>
      <c r="BT94" s="6"/>
      <c r="BU94" s="6"/>
      <c r="BV94" s="6"/>
      <c r="BW94" s="6"/>
      <c r="BX94" s="6"/>
      <c r="BY94" s="6"/>
      <c r="BZ94" s="6"/>
      <c r="CA94" s="6"/>
      <c r="CB94" s="6"/>
      <c r="CC94" s="6"/>
      <c r="CD94" s="6"/>
      <c r="CE94" s="6"/>
      <c r="CF94" s="6"/>
      <c r="CG94" s="9">
        <v>7</v>
      </c>
    </row>
    <row r="95" spans="1:85" x14ac:dyDescent="0.3">
      <c r="A95" s="3" t="str">
        <f t="shared" si="3"/>
        <v>ADDOrganizational Excellence - Program SupportIntergovernmental Personnel Assignments (IPAs)Total</v>
      </c>
      <c r="B95" s="6" t="s">
        <v>81</v>
      </c>
      <c r="C95" s="6" t="s">
        <v>166</v>
      </c>
      <c r="D95" s="6" t="s">
        <v>168</v>
      </c>
      <c r="E95" s="6" t="s">
        <v>24</v>
      </c>
      <c r="F95" s="8">
        <v>1.32</v>
      </c>
      <c r="G95" s="8">
        <v>1.57</v>
      </c>
      <c r="H95" s="6"/>
      <c r="I95" s="8">
        <v>1.82</v>
      </c>
      <c r="J95" s="8">
        <v>0.82</v>
      </c>
      <c r="K95" s="6"/>
      <c r="L95" s="8">
        <v>5.53</v>
      </c>
      <c r="M95" s="8">
        <v>2.14</v>
      </c>
      <c r="N95" s="8">
        <v>4.75</v>
      </c>
      <c r="O95" s="8">
        <v>3.02</v>
      </c>
      <c r="P95" s="8">
        <v>1.75</v>
      </c>
      <c r="Q95" s="8">
        <v>2.82</v>
      </c>
      <c r="R95" s="6"/>
      <c r="S95" s="8">
        <v>14.48</v>
      </c>
      <c r="T95" s="8">
        <v>2.66</v>
      </c>
      <c r="U95" s="8">
        <v>3.3</v>
      </c>
      <c r="V95" s="8">
        <v>3.09</v>
      </c>
      <c r="W95" s="8">
        <v>2.4</v>
      </c>
      <c r="X95" s="8">
        <v>0.4</v>
      </c>
      <c r="Y95" s="8">
        <v>0</v>
      </c>
      <c r="Z95" s="6"/>
      <c r="AA95" s="8">
        <v>11.85</v>
      </c>
      <c r="AB95" s="8">
        <v>1.86</v>
      </c>
      <c r="AC95" s="8">
        <v>2.2400000000000002</v>
      </c>
      <c r="AD95" s="8">
        <v>3.3</v>
      </c>
      <c r="AE95" s="8">
        <v>2.9</v>
      </c>
      <c r="AF95" s="8">
        <v>3.42</v>
      </c>
      <c r="AG95" s="6"/>
      <c r="AH95" s="8">
        <v>13.72</v>
      </c>
      <c r="AI95" s="8">
        <v>1.25</v>
      </c>
      <c r="AJ95" s="8">
        <v>2.04</v>
      </c>
      <c r="AK95" s="8">
        <v>2.2000000000000002</v>
      </c>
      <c r="AL95" s="8">
        <v>2</v>
      </c>
      <c r="AM95" s="8">
        <v>1.67</v>
      </c>
      <c r="AN95" s="8">
        <v>1.64</v>
      </c>
      <c r="AO95" s="6"/>
      <c r="AP95" s="8">
        <v>10.8</v>
      </c>
      <c r="AQ95" s="8">
        <v>1.46</v>
      </c>
      <c r="AR95" s="8">
        <v>0</v>
      </c>
      <c r="AS95" s="8">
        <v>0.5</v>
      </c>
      <c r="AT95" s="8">
        <v>1.79</v>
      </c>
      <c r="AU95" s="6"/>
      <c r="AV95" s="8">
        <v>3.75</v>
      </c>
      <c r="AW95" s="8">
        <v>5.29</v>
      </c>
      <c r="AX95" s="6"/>
      <c r="AY95" s="6"/>
      <c r="AZ95" s="8">
        <v>1.99</v>
      </c>
      <c r="BA95" s="6"/>
      <c r="BB95" s="8">
        <v>7.28</v>
      </c>
      <c r="BC95" s="8">
        <v>0.88</v>
      </c>
      <c r="BD95" s="8">
        <v>0.88</v>
      </c>
      <c r="BE95" s="8">
        <v>1.08</v>
      </c>
      <c r="BF95" s="8">
        <v>1.3</v>
      </c>
      <c r="BG95" s="8">
        <v>2.38</v>
      </c>
      <c r="BH95" s="6"/>
      <c r="BI95" s="6"/>
      <c r="BJ95" s="6"/>
      <c r="BK95" s="6"/>
      <c r="BL95" s="8">
        <v>70.67</v>
      </c>
      <c r="BM95" s="6"/>
      <c r="BN95" s="6"/>
      <c r="BO95" s="6"/>
      <c r="BP95" s="6"/>
      <c r="BQ95" s="8">
        <v>8.52</v>
      </c>
      <c r="BR95" s="8">
        <v>8.52</v>
      </c>
      <c r="BS95" s="8">
        <v>8.52</v>
      </c>
      <c r="BT95" s="6"/>
      <c r="BU95" s="6"/>
      <c r="BV95" s="6"/>
      <c r="BW95" s="6"/>
      <c r="BX95" s="6"/>
      <c r="BY95" s="6"/>
      <c r="BZ95" s="6"/>
      <c r="CA95" s="6"/>
      <c r="CB95" s="6"/>
      <c r="CC95" s="6"/>
      <c r="CD95" s="6"/>
      <c r="CE95" s="6"/>
      <c r="CF95" s="6"/>
      <c r="CG95" s="9">
        <v>79.19</v>
      </c>
    </row>
    <row r="96" spans="1:85" x14ac:dyDescent="0.3">
      <c r="A96" s="3" t="str">
        <f t="shared" si="3"/>
        <v>ADDOrganizational Excellence - Program SupportMajor Facilities Administrative Reviews and AuditsTotal</v>
      </c>
      <c r="B96" s="6" t="s">
        <v>81</v>
      </c>
      <c r="C96" s="6" t="s">
        <v>166</v>
      </c>
      <c r="D96" s="6" t="s">
        <v>169</v>
      </c>
      <c r="E96" s="6" t="s">
        <v>24</v>
      </c>
      <c r="F96" s="8">
        <v>0.12</v>
      </c>
      <c r="G96" s="6"/>
      <c r="H96" s="6"/>
      <c r="I96" s="6"/>
      <c r="J96" s="6"/>
      <c r="K96" s="6"/>
      <c r="L96" s="8">
        <v>0.12</v>
      </c>
      <c r="M96" s="6"/>
      <c r="N96" s="6"/>
      <c r="O96" s="6"/>
      <c r="P96" s="6"/>
      <c r="Q96" s="8">
        <v>0.05</v>
      </c>
      <c r="R96" s="6"/>
      <c r="S96" s="8">
        <v>0.05</v>
      </c>
      <c r="T96" s="6"/>
      <c r="U96" s="6"/>
      <c r="V96" s="6"/>
      <c r="W96" s="6"/>
      <c r="X96" s="6"/>
      <c r="Y96" s="6"/>
      <c r="Z96" s="6"/>
      <c r="AA96" s="6"/>
      <c r="AB96" s="6"/>
      <c r="AC96" s="6"/>
      <c r="AD96" s="8">
        <v>0</v>
      </c>
      <c r="AE96" s="8">
        <v>0</v>
      </c>
      <c r="AF96" s="6"/>
      <c r="AG96" s="6"/>
      <c r="AH96" s="8">
        <v>0</v>
      </c>
      <c r="AI96" s="8">
        <v>0</v>
      </c>
      <c r="AJ96" s="6"/>
      <c r="AK96" s="8">
        <v>0</v>
      </c>
      <c r="AL96" s="6"/>
      <c r="AM96" s="6"/>
      <c r="AN96" s="8">
        <v>0</v>
      </c>
      <c r="AO96" s="6"/>
      <c r="AP96" s="8">
        <v>0</v>
      </c>
      <c r="AQ96" s="6"/>
      <c r="AR96" s="6"/>
      <c r="AS96" s="6"/>
      <c r="AT96" s="6"/>
      <c r="AU96" s="6"/>
      <c r="AV96" s="6"/>
      <c r="AW96" s="6"/>
      <c r="AX96" s="6"/>
      <c r="AY96" s="6"/>
      <c r="AZ96" s="6"/>
      <c r="BA96" s="6"/>
      <c r="BB96" s="6"/>
      <c r="BC96" s="6"/>
      <c r="BD96" s="6"/>
      <c r="BE96" s="6"/>
      <c r="BF96" s="6"/>
      <c r="BG96" s="6"/>
      <c r="BH96" s="6"/>
      <c r="BI96" s="6"/>
      <c r="BJ96" s="6"/>
      <c r="BK96" s="6"/>
      <c r="BL96" s="8">
        <v>0.17</v>
      </c>
      <c r="BM96" s="6"/>
      <c r="BN96" s="6"/>
      <c r="BO96" s="6"/>
      <c r="BP96" s="6"/>
      <c r="BQ96" s="6"/>
      <c r="BR96" s="6"/>
      <c r="BS96" s="6"/>
      <c r="BT96" s="8">
        <v>1</v>
      </c>
      <c r="BU96" s="8">
        <v>1</v>
      </c>
      <c r="BV96" s="8">
        <v>1</v>
      </c>
      <c r="BW96" s="8">
        <v>1.7</v>
      </c>
      <c r="BX96" s="6"/>
      <c r="BY96" s="8">
        <v>1.7</v>
      </c>
      <c r="BZ96" s="8">
        <v>1.7</v>
      </c>
      <c r="CA96" s="6"/>
      <c r="CB96" s="6"/>
      <c r="CC96" s="6"/>
      <c r="CD96" s="6"/>
      <c r="CE96" s="6"/>
      <c r="CF96" s="6"/>
      <c r="CG96" s="9">
        <v>2.87</v>
      </c>
    </row>
    <row r="97" spans="1:85" x14ac:dyDescent="0.3">
      <c r="A97" s="3" t="str">
        <f t="shared" si="3"/>
        <v>ADDOrganizational Excellence - Program SupportModeling and ForecastingTotal</v>
      </c>
      <c r="B97" s="6" t="s">
        <v>81</v>
      </c>
      <c r="C97" s="6" t="s">
        <v>166</v>
      </c>
      <c r="D97" s="6" t="s">
        <v>170</v>
      </c>
      <c r="E97" s="6" t="s">
        <v>24</v>
      </c>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8">
        <v>3</v>
      </c>
      <c r="BG97" s="8">
        <v>3</v>
      </c>
      <c r="BH97" s="6"/>
      <c r="BI97" s="6"/>
      <c r="BJ97" s="6"/>
      <c r="BK97" s="6"/>
      <c r="BL97" s="8">
        <v>3</v>
      </c>
      <c r="BM97" s="6"/>
      <c r="BN97" s="6"/>
      <c r="BO97" s="6"/>
      <c r="BP97" s="6"/>
      <c r="BQ97" s="6"/>
      <c r="BR97" s="6"/>
      <c r="BS97" s="6"/>
      <c r="BT97" s="6"/>
      <c r="BU97" s="6"/>
      <c r="BV97" s="6"/>
      <c r="BW97" s="6"/>
      <c r="BX97" s="6"/>
      <c r="BY97" s="6"/>
      <c r="BZ97" s="6"/>
      <c r="CA97" s="6"/>
      <c r="CB97" s="6"/>
      <c r="CC97" s="6"/>
      <c r="CD97" s="6"/>
      <c r="CE97" s="6"/>
      <c r="CF97" s="6"/>
      <c r="CG97" s="9">
        <v>3</v>
      </c>
    </row>
    <row r="98" spans="1:85" x14ac:dyDescent="0.3">
      <c r="A98" s="3" t="str">
        <f t="shared" si="3"/>
        <v>ADDOrganizational Excellence - Program SupportOrganizational ExcellenceTotal</v>
      </c>
      <c r="B98" s="6" t="s">
        <v>81</v>
      </c>
      <c r="C98" s="6" t="s">
        <v>166</v>
      </c>
      <c r="D98" s="6" t="s">
        <v>171</v>
      </c>
      <c r="E98" s="6" t="s">
        <v>24</v>
      </c>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8">
        <v>471.5</v>
      </c>
      <c r="BX98" s="6"/>
      <c r="BY98" s="8">
        <v>471.5</v>
      </c>
      <c r="BZ98" s="8">
        <v>471.5</v>
      </c>
      <c r="CA98" s="8">
        <v>23.393000000000001</v>
      </c>
      <c r="CB98" s="8">
        <v>23.393000000000001</v>
      </c>
      <c r="CC98" s="8">
        <v>23.393000000000001</v>
      </c>
      <c r="CD98" s="8">
        <v>5.09</v>
      </c>
      <c r="CE98" s="8">
        <v>5.09</v>
      </c>
      <c r="CF98" s="8">
        <v>5.09</v>
      </c>
      <c r="CG98" s="9">
        <v>499.983</v>
      </c>
    </row>
    <row r="99" spans="1:85" x14ac:dyDescent="0.3">
      <c r="A99" s="3" t="str">
        <f t="shared" si="3"/>
        <v>ADDOrganizational Excellence - Program SupportOrganizational Excellence Stewardship OffsetTotal</v>
      </c>
      <c r="B99" s="6" t="s">
        <v>81</v>
      </c>
      <c r="C99" s="6" t="s">
        <v>166</v>
      </c>
      <c r="D99" s="6" t="s">
        <v>172</v>
      </c>
      <c r="E99" s="6" t="s">
        <v>24</v>
      </c>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8">
        <v>-0.22</v>
      </c>
      <c r="BG99" s="8">
        <v>-0.22</v>
      </c>
      <c r="BH99" s="6"/>
      <c r="BI99" s="6"/>
      <c r="BJ99" s="6"/>
      <c r="BK99" s="6"/>
      <c r="BL99" s="8">
        <v>-0.22</v>
      </c>
      <c r="BM99" s="6"/>
      <c r="BN99" s="6"/>
      <c r="BO99" s="6"/>
      <c r="BP99" s="6"/>
      <c r="BQ99" s="6"/>
      <c r="BR99" s="6"/>
      <c r="BS99" s="6"/>
      <c r="BT99" s="6"/>
      <c r="BU99" s="6"/>
      <c r="BV99" s="6"/>
      <c r="BW99" s="6"/>
      <c r="BX99" s="6"/>
      <c r="BY99" s="6"/>
      <c r="BZ99" s="6"/>
      <c r="CA99" s="6"/>
      <c r="CB99" s="6"/>
      <c r="CC99" s="6"/>
      <c r="CD99" s="6"/>
      <c r="CE99" s="6"/>
      <c r="CF99" s="6"/>
      <c r="CG99" s="9">
        <v>-0.22</v>
      </c>
    </row>
    <row r="100" spans="1:85" x14ac:dyDescent="0.3">
      <c r="A100" s="3" t="str">
        <f t="shared" si="3"/>
        <v>ADDOrganizational Excellence - Program SupportPlanning and Policy SupportTotal</v>
      </c>
      <c r="B100" s="6" t="s">
        <v>81</v>
      </c>
      <c r="C100" s="6" t="s">
        <v>166</v>
      </c>
      <c r="D100" s="6" t="s">
        <v>173</v>
      </c>
      <c r="E100" s="6" t="s">
        <v>24</v>
      </c>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8">
        <v>0</v>
      </c>
      <c r="AX100" s="6"/>
      <c r="AY100" s="6"/>
      <c r="AZ100" s="6"/>
      <c r="BA100" s="6"/>
      <c r="BB100" s="8">
        <v>0</v>
      </c>
      <c r="BC100" s="6"/>
      <c r="BD100" s="6"/>
      <c r="BE100" s="6"/>
      <c r="BF100" s="8">
        <v>2.5</v>
      </c>
      <c r="BG100" s="8">
        <v>2.5</v>
      </c>
      <c r="BH100" s="6"/>
      <c r="BI100" s="6"/>
      <c r="BJ100" s="6"/>
      <c r="BK100" s="6"/>
      <c r="BL100" s="8">
        <v>2.5</v>
      </c>
      <c r="BM100" s="6"/>
      <c r="BN100" s="6"/>
      <c r="BO100" s="6"/>
      <c r="BP100" s="6"/>
      <c r="BQ100" s="6"/>
      <c r="BR100" s="6"/>
      <c r="BS100" s="6"/>
      <c r="BT100" s="6"/>
      <c r="BU100" s="6"/>
      <c r="BV100" s="6"/>
      <c r="BW100" s="6"/>
      <c r="BX100" s="6"/>
      <c r="BY100" s="6"/>
      <c r="BZ100" s="6"/>
      <c r="CA100" s="6"/>
      <c r="CB100" s="6"/>
      <c r="CC100" s="6"/>
      <c r="CD100" s="6"/>
      <c r="CE100" s="6"/>
      <c r="CF100" s="6"/>
      <c r="CG100" s="9">
        <v>2.5</v>
      </c>
    </row>
    <row r="101" spans="1:85" x14ac:dyDescent="0.3">
      <c r="A101" s="3" t="str">
        <f t="shared" si="3"/>
        <v>ADDOrganizational Excellence - Program SupportProgram Related Administration (PRA)Total</v>
      </c>
      <c r="B101" s="6" t="s">
        <v>81</v>
      </c>
      <c r="C101" s="6" t="s">
        <v>166</v>
      </c>
      <c r="D101" s="6" t="s">
        <v>174</v>
      </c>
      <c r="E101" s="6" t="s">
        <v>24</v>
      </c>
      <c r="F101" s="8">
        <v>2.73</v>
      </c>
      <c r="G101" s="8">
        <v>2.2999999999999998</v>
      </c>
      <c r="H101" s="8">
        <v>2.29</v>
      </c>
      <c r="I101" s="8">
        <v>2.65</v>
      </c>
      <c r="J101" s="8">
        <v>2</v>
      </c>
      <c r="K101" s="6"/>
      <c r="L101" s="8">
        <v>11.97</v>
      </c>
      <c r="M101" s="8">
        <v>2.7</v>
      </c>
      <c r="N101" s="8">
        <v>3.28</v>
      </c>
      <c r="O101" s="8">
        <v>3.06</v>
      </c>
      <c r="P101" s="8">
        <v>2.04</v>
      </c>
      <c r="Q101" s="8">
        <v>3.11</v>
      </c>
      <c r="R101" s="6"/>
      <c r="S101" s="8">
        <v>14.19</v>
      </c>
      <c r="T101" s="8">
        <v>2.79</v>
      </c>
      <c r="U101" s="8">
        <v>3.27</v>
      </c>
      <c r="V101" s="8">
        <v>1.69</v>
      </c>
      <c r="W101" s="8">
        <v>1.79</v>
      </c>
      <c r="X101" s="8">
        <v>2.0499999999999998</v>
      </c>
      <c r="Y101" s="8">
        <v>0</v>
      </c>
      <c r="Z101" s="6"/>
      <c r="AA101" s="8">
        <v>11.59</v>
      </c>
      <c r="AB101" s="8">
        <v>3.72</v>
      </c>
      <c r="AC101" s="8">
        <v>2.54</v>
      </c>
      <c r="AD101" s="8">
        <v>5.32</v>
      </c>
      <c r="AE101" s="8">
        <v>5.64</v>
      </c>
      <c r="AF101" s="8">
        <v>3.7</v>
      </c>
      <c r="AG101" s="6"/>
      <c r="AH101" s="8">
        <v>20.92</v>
      </c>
      <c r="AI101" s="8">
        <v>3.75</v>
      </c>
      <c r="AJ101" s="8">
        <v>3.61</v>
      </c>
      <c r="AK101" s="8">
        <v>4.45</v>
      </c>
      <c r="AL101" s="8">
        <v>3.3</v>
      </c>
      <c r="AM101" s="8">
        <v>2.4</v>
      </c>
      <c r="AN101" s="8">
        <v>4.03</v>
      </c>
      <c r="AO101" s="6"/>
      <c r="AP101" s="8">
        <v>21.54</v>
      </c>
      <c r="AQ101" s="8">
        <v>1.4</v>
      </c>
      <c r="AR101" s="8">
        <v>0.92</v>
      </c>
      <c r="AS101" s="8">
        <v>0.35</v>
      </c>
      <c r="AT101" s="8">
        <v>1.4</v>
      </c>
      <c r="AU101" s="6"/>
      <c r="AV101" s="8">
        <v>4.07</v>
      </c>
      <c r="AW101" s="8">
        <v>3.26</v>
      </c>
      <c r="AX101" s="8">
        <v>0.63</v>
      </c>
      <c r="AY101" s="8">
        <v>1.79</v>
      </c>
      <c r="AZ101" s="8">
        <v>1.68</v>
      </c>
      <c r="BA101" s="6"/>
      <c r="BB101" s="8">
        <v>7.36</v>
      </c>
      <c r="BC101" s="8">
        <v>0.91</v>
      </c>
      <c r="BD101" s="8">
        <v>0.91</v>
      </c>
      <c r="BE101" s="8">
        <v>3.41</v>
      </c>
      <c r="BF101" s="8">
        <v>3.33</v>
      </c>
      <c r="BG101" s="8">
        <v>6.74</v>
      </c>
      <c r="BH101" s="6"/>
      <c r="BI101" s="6"/>
      <c r="BJ101" s="6"/>
      <c r="BK101" s="6"/>
      <c r="BL101" s="8">
        <v>99.29</v>
      </c>
      <c r="BM101" s="6"/>
      <c r="BN101" s="6"/>
      <c r="BO101" s="6"/>
      <c r="BP101" s="6"/>
      <c r="BQ101" s="8">
        <v>16.98</v>
      </c>
      <c r="BR101" s="8">
        <v>16.98</v>
      </c>
      <c r="BS101" s="8">
        <v>16.98</v>
      </c>
      <c r="BT101" s="6"/>
      <c r="BU101" s="6"/>
      <c r="BV101" s="6"/>
      <c r="BW101" s="6"/>
      <c r="BX101" s="6"/>
      <c r="BY101" s="6"/>
      <c r="BZ101" s="6"/>
      <c r="CA101" s="6"/>
      <c r="CB101" s="6"/>
      <c r="CC101" s="6"/>
      <c r="CD101" s="6"/>
      <c r="CE101" s="6"/>
      <c r="CF101" s="6"/>
      <c r="CG101" s="9">
        <v>116.27</v>
      </c>
    </row>
    <row r="102" spans="1:85" x14ac:dyDescent="0.3">
      <c r="A102" s="3" t="str">
        <f t="shared" si="3"/>
        <v>ADDOrganizational Excellence - Program SupportProgram Related Administration (PRA)Other Program Related Administration</v>
      </c>
      <c r="B102" s="6" t="s">
        <v>81</v>
      </c>
      <c r="C102" s="6" t="s">
        <v>166</v>
      </c>
      <c r="D102" s="6" t="s">
        <v>174</v>
      </c>
      <c r="E102" s="6" t="s">
        <v>175</v>
      </c>
      <c r="F102" s="8">
        <v>0.18</v>
      </c>
      <c r="G102" s="8">
        <v>0.15</v>
      </c>
      <c r="H102" s="8">
        <v>0.15</v>
      </c>
      <c r="I102" s="8">
        <v>0.17</v>
      </c>
      <c r="J102" s="8">
        <v>0.13</v>
      </c>
      <c r="K102" s="6"/>
      <c r="L102" s="8">
        <v>0.78</v>
      </c>
      <c r="M102" s="8">
        <v>0.18</v>
      </c>
      <c r="N102" s="8">
        <v>0.21</v>
      </c>
      <c r="O102" s="8">
        <v>0.2</v>
      </c>
      <c r="P102" s="8">
        <v>0.13</v>
      </c>
      <c r="Q102" s="8">
        <v>0.2</v>
      </c>
      <c r="R102" s="6"/>
      <c r="S102" s="8">
        <v>0.92</v>
      </c>
      <c r="T102" s="8">
        <v>0.18</v>
      </c>
      <c r="U102" s="8">
        <v>0.21</v>
      </c>
      <c r="V102" s="8">
        <v>0.11</v>
      </c>
      <c r="W102" s="8">
        <v>0.12</v>
      </c>
      <c r="X102" s="8">
        <v>0.13</v>
      </c>
      <c r="Y102" s="8">
        <v>0</v>
      </c>
      <c r="Z102" s="6"/>
      <c r="AA102" s="8">
        <v>0.75</v>
      </c>
      <c r="AB102" s="8">
        <v>0.24</v>
      </c>
      <c r="AC102" s="8">
        <v>0.16</v>
      </c>
      <c r="AD102" s="8">
        <v>0.34</v>
      </c>
      <c r="AE102" s="8">
        <v>0.37</v>
      </c>
      <c r="AF102" s="8">
        <v>0.25</v>
      </c>
      <c r="AG102" s="6"/>
      <c r="AH102" s="8">
        <v>1.36</v>
      </c>
      <c r="AI102" s="8">
        <v>0.25</v>
      </c>
      <c r="AJ102" s="8">
        <v>0.23</v>
      </c>
      <c r="AK102" s="8">
        <v>0.28999999999999998</v>
      </c>
      <c r="AL102" s="8">
        <v>0.21</v>
      </c>
      <c r="AM102" s="8">
        <v>0.16</v>
      </c>
      <c r="AN102" s="8">
        <v>0.26</v>
      </c>
      <c r="AO102" s="6"/>
      <c r="AP102" s="8">
        <v>1.4</v>
      </c>
      <c r="AQ102" s="8">
        <v>0.09</v>
      </c>
      <c r="AR102" s="8">
        <v>0.06</v>
      </c>
      <c r="AS102" s="8">
        <v>0.02</v>
      </c>
      <c r="AT102" s="8">
        <v>0.09</v>
      </c>
      <c r="AU102" s="6"/>
      <c r="AV102" s="8">
        <v>0.26</v>
      </c>
      <c r="AW102" s="8">
        <v>0.21</v>
      </c>
      <c r="AX102" s="8">
        <v>0.04</v>
      </c>
      <c r="AY102" s="8">
        <v>0.12</v>
      </c>
      <c r="AZ102" s="8">
        <v>0.11</v>
      </c>
      <c r="BA102" s="6"/>
      <c r="BB102" s="8">
        <v>0.48</v>
      </c>
      <c r="BC102" s="8">
        <v>0.06</v>
      </c>
      <c r="BD102" s="8">
        <v>0.06</v>
      </c>
      <c r="BE102" s="8">
        <v>0.22</v>
      </c>
      <c r="BF102" s="8">
        <v>0.22</v>
      </c>
      <c r="BG102" s="8">
        <v>0.44</v>
      </c>
      <c r="BH102" s="6"/>
      <c r="BI102" s="6"/>
      <c r="BJ102" s="6"/>
      <c r="BK102" s="6"/>
      <c r="BL102" s="8">
        <v>6.45</v>
      </c>
      <c r="BM102" s="6"/>
      <c r="BN102" s="6"/>
      <c r="BO102" s="6"/>
      <c r="BP102" s="6"/>
      <c r="BQ102" s="8">
        <v>1.1000000000000001</v>
      </c>
      <c r="BR102" s="8">
        <v>1.1000000000000001</v>
      </c>
      <c r="BS102" s="8">
        <v>1.1000000000000001</v>
      </c>
      <c r="BT102" s="6"/>
      <c r="BU102" s="6"/>
      <c r="BV102" s="6"/>
      <c r="BW102" s="6"/>
      <c r="BX102" s="6"/>
      <c r="BY102" s="6"/>
      <c r="BZ102" s="6"/>
      <c r="CA102" s="6"/>
      <c r="CB102" s="6"/>
      <c r="CC102" s="6"/>
      <c r="CD102" s="6"/>
      <c r="CE102" s="6"/>
      <c r="CF102" s="6"/>
      <c r="CG102" s="9">
        <v>7.55</v>
      </c>
    </row>
    <row r="103" spans="1:85" x14ac:dyDescent="0.3">
      <c r="A103" s="3" t="str">
        <f t="shared" si="3"/>
        <v>ADDOrganizational Excellence - Program SupportProgram Related Administration (PRA)Program Related Technology (PRT)</v>
      </c>
      <c r="B103" s="6" t="s">
        <v>81</v>
      </c>
      <c r="C103" s="6" t="s">
        <v>166</v>
      </c>
      <c r="D103" s="6" t="s">
        <v>174</v>
      </c>
      <c r="E103" s="6" t="s">
        <v>176</v>
      </c>
      <c r="F103" s="8">
        <v>2.5499999999999998</v>
      </c>
      <c r="G103" s="8">
        <v>2.15</v>
      </c>
      <c r="H103" s="8">
        <v>2.14</v>
      </c>
      <c r="I103" s="8">
        <v>2.48</v>
      </c>
      <c r="J103" s="8">
        <v>1.87</v>
      </c>
      <c r="K103" s="6"/>
      <c r="L103" s="8">
        <v>11.19</v>
      </c>
      <c r="M103" s="8">
        <v>2.52</v>
      </c>
      <c r="N103" s="8">
        <v>3.07</v>
      </c>
      <c r="O103" s="8">
        <v>2.86</v>
      </c>
      <c r="P103" s="8">
        <v>1.91</v>
      </c>
      <c r="Q103" s="8">
        <v>2.91</v>
      </c>
      <c r="R103" s="6"/>
      <c r="S103" s="8">
        <v>13.27</v>
      </c>
      <c r="T103" s="8">
        <v>2.61</v>
      </c>
      <c r="U103" s="8">
        <v>3.06</v>
      </c>
      <c r="V103" s="8">
        <v>1.58</v>
      </c>
      <c r="W103" s="8">
        <v>1.67</v>
      </c>
      <c r="X103" s="8">
        <v>1.92</v>
      </c>
      <c r="Y103" s="8">
        <v>0</v>
      </c>
      <c r="Z103" s="6"/>
      <c r="AA103" s="8">
        <v>10.84</v>
      </c>
      <c r="AB103" s="8">
        <v>3.48</v>
      </c>
      <c r="AC103" s="8">
        <v>2.38</v>
      </c>
      <c r="AD103" s="8">
        <v>4.9800000000000004</v>
      </c>
      <c r="AE103" s="8">
        <v>5.27</v>
      </c>
      <c r="AF103" s="8">
        <v>3.45</v>
      </c>
      <c r="AG103" s="6"/>
      <c r="AH103" s="8">
        <v>19.559999999999999</v>
      </c>
      <c r="AI103" s="8">
        <v>3.5</v>
      </c>
      <c r="AJ103" s="8">
        <v>3.38</v>
      </c>
      <c r="AK103" s="8">
        <v>4.16</v>
      </c>
      <c r="AL103" s="8">
        <v>3.09</v>
      </c>
      <c r="AM103" s="8">
        <v>2.2400000000000002</v>
      </c>
      <c r="AN103" s="8">
        <v>3.77</v>
      </c>
      <c r="AO103" s="6"/>
      <c r="AP103" s="8">
        <v>20.14</v>
      </c>
      <c r="AQ103" s="8">
        <v>1.31</v>
      </c>
      <c r="AR103" s="8">
        <v>0.86</v>
      </c>
      <c r="AS103" s="8">
        <v>0.33</v>
      </c>
      <c r="AT103" s="8">
        <v>1.31</v>
      </c>
      <c r="AU103" s="6"/>
      <c r="AV103" s="8">
        <v>3.81</v>
      </c>
      <c r="AW103" s="8">
        <v>3.05</v>
      </c>
      <c r="AX103" s="8">
        <v>0.59</v>
      </c>
      <c r="AY103" s="8">
        <v>1.67</v>
      </c>
      <c r="AZ103" s="8">
        <v>1.57</v>
      </c>
      <c r="BA103" s="6"/>
      <c r="BB103" s="8">
        <v>6.88</v>
      </c>
      <c r="BC103" s="8">
        <v>0.85</v>
      </c>
      <c r="BD103" s="8">
        <v>0.85</v>
      </c>
      <c r="BE103" s="8">
        <v>3.19</v>
      </c>
      <c r="BF103" s="8">
        <v>3.11</v>
      </c>
      <c r="BG103" s="8">
        <v>6.3</v>
      </c>
      <c r="BH103" s="6"/>
      <c r="BI103" s="6"/>
      <c r="BJ103" s="6"/>
      <c r="BK103" s="6"/>
      <c r="BL103" s="8">
        <v>92.84</v>
      </c>
      <c r="BM103" s="6"/>
      <c r="BN103" s="6"/>
      <c r="BO103" s="6"/>
      <c r="BP103" s="6"/>
      <c r="BQ103" s="8">
        <v>15.88</v>
      </c>
      <c r="BR103" s="8">
        <v>15.88</v>
      </c>
      <c r="BS103" s="8">
        <v>15.88</v>
      </c>
      <c r="BT103" s="6"/>
      <c r="BU103" s="6"/>
      <c r="BV103" s="6"/>
      <c r="BW103" s="6"/>
      <c r="BX103" s="6"/>
      <c r="BY103" s="6"/>
      <c r="BZ103" s="6"/>
      <c r="CA103" s="6"/>
      <c r="CB103" s="6"/>
      <c r="CC103" s="6"/>
      <c r="CD103" s="6"/>
      <c r="CE103" s="6"/>
      <c r="CF103" s="6"/>
      <c r="CG103" s="9">
        <v>108.72</v>
      </c>
    </row>
    <row r="104" spans="1:85" x14ac:dyDescent="0.3">
      <c r="A104" s="3" t="str">
        <f t="shared" si="3"/>
        <v>ADDOrganizational Excellence - Program SupportResearch Resources – Public Access InitiativeTotal</v>
      </c>
      <c r="B104" s="6" t="s">
        <v>81</v>
      </c>
      <c r="C104" s="6" t="s">
        <v>166</v>
      </c>
      <c r="D104" s="6" t="s">
        <v>177</v>
      </c>
      <c r="E104" s="6" t="s">
        <v>24</v>
      </c>
      <c r="F104" s="6"/>
      <c r="G104" s="6"/>
      <c r="H104" s="6"/>
      <c r="I104" s="6"/>
      <c r="J104" s="6"/>
      <c r="K104" s="6"/>
      <c r="L104" s="6"/>
      <c r="M104" s="6"/>
      <c r="N104" s="6"/>
      <c r="O104" s="6"/>
      <c r="P104" s="6"/>
      <c r="Q104" s="8">
        <v>1.75</v>
      </c>
      <c r="R104" s="6"/>
      <c r="S104" s="8">
        <v>1.75</v>
      </c>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8">
        <v>0</v>
      </c>
      <c r="AT104" s="6"/>
      <c r="AU104" s="6"/>
      <c r="AV104" s="8">
        <v>0</v>
      </c>
      <c r="AW104" s="6"/>
      <c r="AX104" s="6"/>
      <c r="AY104" s="6"/>
      <c r="AZ104" s="6"/>
      <c r="BA104" s="6"/>
      <c r="BB104" s="6"/>
      <c r="BC104" s="6"/>
      <c r="BD104" s="6"/>
      <c r="BE104" s="6"/>
      <c r="BF104" s="6"/>
      <c r="BG104" s="6"/>
      <c r="BH104" s="6"/>
      <c r="BI104" s="6"/>
      <c r="BJ104" s="6"/>
      <c r="BK104" s="6"/>
      <c r="BL104" s="8">
        <v>1.75</v>
      </c>
      <c r="BM104" s="6"/>
      <c r="BN104" s="6"/>
      <c r="BO104" s="6"/>
      <c r="BP104" s="6"/>
      <c r="BQ104" s="6"/>
      <c r="BR104" s="6"/>
      <c r="BS104" s="6"/>
      <c r="BT104" s="6"/>
      <c r="BU104" s="6"/>
      <c r="BV104" s="6"/>
      <c r="BW104" s="6"/>
      <c r="BX104" s="6"/>
      <c r="BY104" s="6"/>
      <c r="BZ104" s="6"/>
      <c r="CA104" s="6"/>
      <c r="CB104" s="6"/>
      <c r="CC104" s="6"/>
      <c r="CD104" s="6"/>
      <c r="CE104" s="6"/>
      <c r="CF104" s="6"/>
      <c r="CG104" s="9">
        <v>1.75</v>
      </c>
    </row>
    <row r="105" spans="1:85" x14ac:dyDescent="0.3">
      <c r="A105" s="3" t="str">
        <f t="shared" si="3"/>
        <v>ADDOrganizational Excellence - Program SupportResearch Security Strategy and PolicyTotal</v>
      </c>
      <c r="B105" s="6" t="s">
        <v>81</v>
      </c>
      <c r="C105" s="6" t="s">
        <v>166</v>
      </c>
      <c r="D105" s="6" t="s">
        <v>178</v>
      </c>
      <c r="E105" s="6" t="s">
        <v>24</v>
      </c>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8">
        <v>2.5</v>
      </c>
      <c r="BG105" s="8">
        <v>2.5</v>
      </c>
      <c r="BH105" s="6"/>
      <c r="BI105" s="6"/>
      <c r="BJ105" s="6"/>
      <c r="BK105" s="6"/>
      <c r="BL105" s="8">
        <v>2.5</v>
      </c>
      <c r="BM105" s="6"/>
      <c r="BN105" s="6"/>
      <c r="BO105" s="6"/>
      <c r="BP105" s="6"/>
      <c r="BQ105" s="6"/>
      <c r="BR105" s="6"/>
      <c r="BS105" s="6"/>
      <c r="BT105" s="6"/>
      <c r="BU105" s="6"/>
      <c r="BV105" s="6"/>
      <c r="BW105" s="6"/>
      <c r="BX105" s="6"/>
      <c r="BY105" s="6"/>
      <c r="BZ105" s="6"/>
      <c r="CA105" s="6"/>
      <c r="CB105" s="6"/>
      <c r="CC105" s="6"/>
      <c r="CD105" s="6"/>
      <c r="CE105" s="6"/>
      <c r="CF105" s="6"/>
      <c r="CG105" s="9">
        <v>2.5</v>
      </c>
    </row>
    <row r="106" spans="1:85" x14ac:dyDescent="0.3">
      <c r="A106" s="3" t="str">
        <f t="shared" si="3"/>
        <v>ADDResearch InfrastructureTotalTotal</v>
      </c>
      <c r="B106" s="6" t="s">
        <v>81</v>
      </c>
      <c r="C106" s="6" t="s">
        <v>179</v>
      </c>
      <c r="D106" s="6" t="s">
        <v>24</v>
      </c>
      <c r="E106" s="6" t="s">
        <v>24</v>
      </c>
      <c r="F106" s="8">
        <v>113.11</v>
      </c>
      <c r="G106" s="6"/>
      <c r="H106" s="6"/>
      <c r="I106" s="8">
        <v>11</v>
      </c>
      <c r="J106" s="8">
        <v>1</v>
      </c>
      <c r="K106" s="6"/>
      <c r="L106" s="8">
        <v>125.11</v>
      </c>
      <c r="M106" s="8">
        <v>1.6</v>
      </c>
      <c r="N106" s="8">
        <v>23</v>
      </c>
      <c r="O106" s="8">
        <v>2</v>
      </c>
      <c r="P106" s="8">
        <v>11.24</v>
      </c>
      <c r="Q106" s="8">
        <v>144.25</v>
      </c>
      <c r="R106" s="6"/>
      <c r="S106" s="8">
        <v>182.09</v>
      </c>
      <c r="T106" s="8">
        <v>3.69</v>
      </c>
      <c r="U106" s="8">
        <v>17.3</v>
      </c>
      <c r="V106" s="8">
        <v>5.34</v>
      </c>
      <c r="W106" s="6"/>
      <c r="X106" s="8">
        <v>0.1</v>
      </c>
      <c r="Y106" s="6"/>
      <c r="Z106" s="6"/>
      <c r="AA106" s="8">
        <v>26.43</v>
      </c>
      <c r="AB106" s="8">
        <v>152.44</v>
      </c>
      <c r="AC106" s="8">
        <v>62.57</v>
      </c>
      <c r="AD106" s="8">
        <v>230.81</v>
      </c>
      <c r="AE106" s="8">
        <v>321.95999999999998</v>
      </c>
      <c r="AF106" s="8">
        <v>0</v>
      </c>
      <c r="AG106" s="6"/>
      <c r="AH106" s="8">
        <v>767.78</v>
      </c>
      <c r="AI106" s="8">
        <v>214.21</v>
      </c>
      <c r="AJ106" s="8">
        <v>8.65</v>
      </c>
      <c r="AK106" s="8">
        <v>67.180000000000007</v>
      </c>
      <c r="AL106" s="6"/>
      <c r="AM106" s="8">
        <v>23.45</v>
      </c>
      <c r="AN106" s="8">
        <v>88.83</v>
      </c>
      <c r="AO106" s="6"/>
      <c r="AP106" s="8">
        <v>402.32</v>
      </c>
      <c r="AQ106" s="8">
        <v>4.5</v>
      </c>
      <c r="AR106" s="8">
        <v>73.97</v>
      </c>
      <c r="AS106" s="8">
        <v>0</v>
      </c>
      <c r="AT106" s="8">
        <v>5.49</v>
      </c>
      <c r="AU106" s="6"/>
      <c r="AV106" s="8">
        <v>83.96</v>
      </c>
      <c r="AW106" s="6"/>
      <c r="AX106" s="6"/>
      <c r="AY106" s="6"/>
      <c r="AZ106" s="6"/>
      <c r="BA106" s="6"/>
      <c r="BB106" s="6"/>
      <c r="BC106" s="8">
        <v>0.1</v>
      </c>
      <c r="BD106" s="8">
        <v>0.1</v>
      </c>
      <c r="BE106" s="6"/>
      <c r="BF106" s="8">
        <v>128.74</v>
      </c>
      <c r="BG106" s="8">
        <v>128.74</v>
      </c>
      <c r="BH106" s="6"/>
      <c r="BI106" s="6"/>
      <c r="BJ106" s="8">
        <v>90</v>
      </c>
      <c r="BK106" s="8">
        <v>90</v>
      </c>
      <c r="BL106" s="8">
        <v>1806.53</v>
      </c>
      <c r="BM106" s="6"/>
      <c r="BN106" s="6"/>
      <c r="BO106" s="6"/>
      <c r="BP106" s="6"/>
      <c r="BQ106" s="6"/>
      <c r="BR106" s="6"/>
      <c r="BS106" s="6"/>
      <c r="BT106" s="8">
        <v>186.23</v>
      </c>
      <c r="BU106" s="8">
        <v>186.23</v>
      </c>
      <c r="BV106" s="8">
        <v>186.23</v>
      </c>
      <c r="BW106" s="6"/>
      <c r="BX106" s="6"/>
      <c r="BY106" s="6"/>
      <c r="BZ106" s="6"/>
      <c r="CA106" s="6"/>
      <c r="CB106" s="6"/>
      <c r="CC106" s="6"/>
      <c r="CD106" s="6"/>
      <c r="CE106" s="6"/>
      <c r="CF106" s="6"/>
      <c r="CG106" s="9">
        <v>1992.76</v>
      </c>
    </row>
    <row r="107" spans="1:85" x14ac:dyDescent="0.3">
      <c r="A107" s="3" t="str">
        <f t="shared" si="3"/>
        <v>ADDResearch InfrastructureAcademic Research FleetTotal</v>
      </c>
      <c r="B107" s="6" t="s">
        <v>81</v>
      </c>
      <c r="C107" s="6" t="s">
        <v>179</v>
      </c>
      <c r="D107" s="6" t="s">
        <v>180</v>
      </c>
      <c r="E107" s="6" t="s">
        <v>24</v>
      </c>
      <c r="F107" s="6"/>
      <c r="G107" s="6"/>
      <c r="H107" s="6"/>
      <c r="I107" s="6"/>
      <c r="J107" s="6"/>
      <c r="K107" s="6"/>
      <c r="L107" s="6"/>
      <c r="M107" s="6"/>
      <c r="N107" s="6"/>
      <c r="O107" s="6"/>
      <c r="P107" s="6"/>
      <c r="Q107" s="6"/>
      <c r="R107" s="6"/>
      <c r="S107" s="6"/>
      <c r="T107" s="6"/>
      <c r="U107" s="6"/>
      <c r="V107" s="6"/>
      <c r="W107" s="6"/>
      <c r="X107" s="6"/>
      <c r="Y107" s="6"/>
      <c r="Z107" s="6"/>
      <c r="AA107" s="6"/>
      <c r="AB107" s="6"/>
      <c r="AC107" s="6"/>
      <c r="AD107" s="8">
        <v>119.11</v>
      </c>
      <c r="AE107" s="6"/>
      <c r="AF107" s="6"/>
      <c r="AG107" s="6"/>
      <c r="AH107" s="8">
        <v>119.11</v>
      </c>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8">
        <v>119.11</v>
      </c>
      <c r="BM107" s="6"/>
      <c r="BN107" s="6"/>
      <c r="BO107" s="6"/>
      <c r="BP107" s="6"/>
      <c r="BQ107" s="6"/>
      <c r="BR107" s="6"/>
      <c r="BS107" s="6"/>
      <c r="BT107" s="8">
        <v>1.98</v>
      </c>
      <c r="BU107" s="8">
        <v>1.98</v>
      </c>
      <c r="BV107" s="8">
        <v>1.98</v>
      </c>
      <c r="BW107" s="6"/>
      <c r="BX107" s="6"/>
      <c r="BY107" s="6"/>
      <c r="BZ107" s="6"/>
      <c r="CA107" s="6"/>
      <c r="CB107" s="6"/>
      <c r="CC107" s="6"/>
      <c r="CD107" s="6"/>
      <c r="CE107" s="6"/>
      <c r="CF107" s="6"/>
      <c r="CG107" s="9">
        <v>121.09</v>
      </c>
    </row>
    <row r="108" spans="1:85" x14ac:dyDescent="0.3">
      <c r="A108" s="3" t="str">
        <f t="shared" si="3"/>
        <v>ADDResearch InfrastructureAcademic Research FleetARF-Academic Research Fleet, Ship Ops &amp; Upgrades</v>
      </c>
      <c r="B108" s="6" t="s">
        <v>81</v>
      </c>
      <c r="C108" s="6" t="s">
        <v>179</v>
      </c>
      <c r="D108" s="6" t="s">
        <v>180</v>
      </c>
      <c r="E108" s="6" t="s">
        <v>181</v>
      </c>
      <c r="F108" s="6"/>
      <c r="G108" s="6"/>
      <c r="H108" s="6"/>
      <c r="I108" s="6"/>
      <c r="J108" s="6"/>
      <c r="K108" s="6"/>
      <c r="L108" s="6"/>
      <c r="M108" s="6"/>
      <c r="N108" s="6"/>
      <c r="O108" s="6"/>
      <c r="P108" s="6"/>
      <c r="Q108" s="6"/>
      <c r="R108" s="6"/>
      <c r="S108" s="6"/>
      <c r="T108" s="6"/>
      <c r="U108" s="6"/>
      <c r="V108" s="6"/>
      <c r="W108" s="6"/>
      <c r="X108" s="6"/>
      <c r="Y108" s="6"/>
      <c r="Z108" s="6"/>
      <c r="AA108" s="6"/>
      <c r="AB108" s="6"/>
      <c r="AC108" s="6"/>
      <c r="AD108" s="8">
        <v>119.11</v>
      </c>
      <c r="AE108" s="6"/>
      <c r="AF108" s="6"/>
      <c r="AG108" s="6"/>
      <c r="AH108" s="8">
        <v>119.11</v>
      </c>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8">
        <v>119.11</v>
      </c>
      <c r="BM108" s="6"/>
      <c r="BN108" s="6"/>
      <c r="BO108" s="6"/>
      <c r="BP108" s="6"/>
      <c r="BQ108" s="6"/>
      <c r="BR108" s="6"/>
      <c r="BS108" s="6"/>
      <c r="BT108" s="6"/>
      <c r="BU108" s="6"/>
      <c r="BV108" s="6"/>
      <c r="BW108" s="6"/>
      <c r="BX108" s="6"/>
      <c r="BY108" s="6"/>
      <c r="BZ108" s="6"/>
      <c r="CA108" s="6"/>
      <c r="CB108" s="6"/>
      <c r="CC108" s="6"/>
      <c r="CD108" s="6"/>
      <c r="CE108" s="6"/>
      <c r="CF108" s="6"/>
      <c r="CG108" s="9">
        <v>119.11</v>
      </c>
    </row>
    <row r="109" spans="1:85" x14ac:dyDescent="0.3">
      <c r="A109" s="3" t="str">
        <f t="shared" si="3"/>
        <v>ADDResearch InfrastructureAcademic Research FleetARF-Regional Class Research Vessels (RCRV)</v>
      </c>
      <c r="B109" s="6" t="s">
        <v>81</v>
      </c>
      <c r="C109" s="6" t="s">
        <v>179</v>
      </c>
      <c r="D109" s="6" t="s">
        <v>180</v>
      </c>
      <c r="E109" s="6" t="s">
        <v>182</v>
      </c>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8">
        <v>1.98</v>
      </c>
      <c r="BU109" s="8">
        <v>1.98</v>
      </c>
      <c r="BV109" s="8">
        <v>1.98</v>
      </c>
      <c r="BW109" s="6"/>
      <c r="BX109" s="6"/>
      <c r="BY109" s="6"/>
      <c r="BZ109" s="6"/>
      <c r="CA109" s="6"/>
      <c r="CB109" s="6"/>
      <c r="CC109" s="6"/>
      <c r="CD109" s="6"/>
      <c r="CE109" s="6"/>
      <c r="CF109" s="6"/>
      <c r="CG109" s="9">
        <v>1.98</v>
      </c>
    </row>
    <row r="110" spans="1:85" x14ac:dyDescent="0.3">
      <c r="A110" s="3" t="str">
        <f t="shared" si="3"/>
        <v>ADDResearch InfrastructureAntarctic Facilities and OperationsTotal</v>
      </c>
      <c r="B110" s="6" t="s">
        <v>81</v>
      </c>
      <c r="C110" s="6" t="s">
        <v>179</v>
      </c>
      <c r="D110" s="6" t="s">
        <v>183</v>
      </c>
      <c r="E110" s="6" t="s">
        <v>24</v>
      </c>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8">
        <v>243.67</v>
      </c>
      <c r="AF110" s="6"/>
      <c r="AG110" s="6"/>
      <c r="AH110" s="8">
        <v>243.67</v>
      </c>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8">
        <v>243.67</v>
      </c>
      <c r="BM110" s="6"/>
      <c r="BN110" s="6"/>
      <c r="BO110" s="6"/>
      <c r="BP110" s="6"/>
      <c r="BQ110" s="6"/>
      <c r="BR110" s="6"/>
      <c r="BS110" s="6"/>
      <c r="BT110" s="6"/>
      <c r="BU110" s="6"/>
      <c r="BV110" s="6"/>
      <c r="BW110" s="6"/>
      <c r="BX110" s="6"/>
      <c r="BY110" s="6"/>
      <c r="BZ110" s="6"/>
      <c r="CA110" s="6"/>
      <c r="CB110" s="6"/>
      <c r="CC110" s="6"/>
      <c r="CD110" s="6"/>
      <c r="CE110" s="6"/>
      <c r="CF110" s="6"/>
      <c r="CG110" s="9">
        <v>243.67</v>
      </c>
    </row>
    <row r="111" spans="1:85" x14ac:dyDescent="0.3">
      <c r="A111" s="3" t="str">
        <f t="shared" si="3"/>
        <v>ADDResearch InfrastructureAntarctic Infrastructure Modernization for Science (AIMS)Total</v>
      </c>
      <c r="B111" s="6" t="s">
        <v>81</v>
      </c>
      <c r="C111" s="6" t="s">
        <v>179</v>
      </c>
      <c r="D111" s="6" t="s">
        <v>184</v>
      </c>
      <c r="E111" s="6" t="s">
        <v>24</v>
      </c>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8">
        <v>0</v>
      </c>
      <c r="AF111" s="6"/>
      <c r="AG111" s="6"/>
      <c r="AH111" s="8">
        <v>0</v>
      </c>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8">
        <v>0</v>
      </c>
      <c r="BM111" s="6"/>
      <c r="BN111" s="6"/>
      <c r="BO111" s="6"/>
      <c r="BP111" s="6"/>
      <c r="BQ111" s="6"/>
      <c r="BR111" s="6"/>
      <c r="BS111" s="6"/>
      <c r="BT111" s="8">
        <v>0</v>
      </c>
      <c r="BU111" s="8">
        <v>0</v>
      </c>
      <c r="BV111" s="8">
        <v>0</v>
      </c>
      <c r="BW111" s="6"/>
      <c r="BX111" s="6"/>
      <c r="BY111" s="6"/>
      <c r="BZ111" s="6"/>
      <c r="CA111" s="6"/>
      <c r="CB111" s="6"/>
      <c r="CC111" s="6"/>
      <c r="CD111" s="6"/>
      <c r="CE111" s="6"/>
      <c r="CF111" s="6"/>
      <c r="CG111" s="9">
        <v>0</v>
      </c>
    </row>
    <row r="112" spans="1:85" x14ac:dyDescent="0.3">
      <c r="A112" s="3" t="str">
        <f t="shared" si="3"/>
        <v>ADDResearch InfrastructureAntarctic Infrastructure Recapitalization (AIR)Total</v>
      </c>
      <c r="B112" s="6" t="s">
        <v>81</v>
      </c>
      <c r="C112" s="6" t="s">
        <v>179</v>
      </c>
      <c r="D112" s="6" t="s">
        <v>185</v>
      </c>
      <c r="E112" s="6" t="s">
        <v>24</v>
      </c>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8">
        <v>60</v>
      </c>
      <c r="BU112" s="8">
        <v>60</v>
      </c>
      <c r="BV112" s="8">
        <v>60</v>
      </c>
      <c r="BW112" s="6"/>
      <c r="BX112" s="6"/>
      <c r="BY112" s="6"/>
      <c r="BZ112" s="6"/>
      <c r="CA112" s="6"/>
      <c r="CB112" s="6"/>
      <c r="CC112" s="6"/>
      <c r="CD112" s="6"/>
      <c r="CE112" s="6"/>
      <c r="CF112" s="6"/>
      <c r="CG112" s="9">
        <v>60</v>
      </c>
    </row>
    <row r="113" spans="1:85" x14ac:dyDescent="0.3">
      <c r="A113" s="3" t="str">
        <f t="shared" si="3"/>
        <v>ADDResearch InfrastructureAntarctic LogisticsTotal</v>
      </c>
      <c r="B113" s="6" t="s">
        <v>81</v>
      </c>
      <c r="C113" s="6" t="s">
        <v>179</v>
      </c>
      <c r="D113" s="6" t="s">
        <v>186</v>
      </c>
      <c r="E113" s="6" t="s">
        <v>24</v>
      </c>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8">
        <v>0</v>
      </c>
      <c r="AF113" s="6"/>
      <c r="AG113" s="6"/>
      <c r="AH113" s="8">
        <v>0</v>
      </c>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8">
        <v>90</v>
      </c>
      <c r="BK113" s="8">
        <v>90</v>
      </c>
      <c r="BL113" s="8">
        <v>90</v>
      </c>
      <c r="BM113" s="6"/>
      <c r="BN113" s="6"/>
      <c r="BO113" s="6"/>
      <c r="BP113" s="6"/>
      <c r="BQ113" s="6"/>
      <c r="BR113" s="6"/>
      <c r="BS113" s="6"/>
      <c r="BT113" s="6"/>
      <c r="BU113" s="6"/>
      <c r="BV113" s="6"/>
      <c r="BW113" s="6"/>
      <c r="BX113" s="6"/>
      <c r="BY113" s="6"/>
      <c r="BZ113" s="6"/>
      <c r="CA113" s="6"/>
      <c r="CB113" s="6"/>
      <c r="CC113" s="6"/>
      <c r="CD113" s="6"/>
      <c r="CE113" s="6"/>
      <c r="CF113" s="6"/>
      <c r="CG113" s="9">
        <v>90</v>
      </c>
    </row>
    <row r="114" spans="1:85" x14ac:dyDescent="0.3">
      <c r="A114" s="3" t="str">
        <f t="shared" si="3"/>
        <v>ADDResearch InfrastructureArctic LogisticsTotal</v>
      </c>
      <c r="B114" s="6" t="s">
        <v>81</v>
      </c>
      <c r="C114" s="6" t="s">
        <v>179</v>
      </c>
      <c r="D114" s="6" t="s">
        <v>187</v>
      </c>
      <c r="E114" s="6" t="s">
        <v>24</v>
      </c>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8">
        <v>58</v>
      </c>
      <c r="AF114" s="6"/>
      <c r="AG114" s="6"/>
      <c r="AH114" s="8">
        <v>58</v>
      </c>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8">
        <v>58</v>
      </c>
      <c r="BM114" s="6"/>
      <c r="BN114" s="6"/>
      <c r="BO114" s="6"/>
      <c r="BP114" s="6"/>
      <c r="BQ114" s="6"/>
      <c r="BR114" s="6"/>
      <c r="BS114" s="6"/>
      <c r="BT114" s="6"/>
      <c r="BU114" s="6"/>
      <c r="BV114" s="6"/>
      <c r="BW114" s="6"/>
      <c r="BX114" s="6"/>
      <c r="BY114" s="6"/>
      <c r="BZ114" s="6"/>
      <c r="CA114" s="6"/>
      <c r="CB114" s="6"/>
      <c r="CC114" s="6"/>
      <c r="CD114" s="6"/>
      <c r="CE114" s="6"/>
      <c r="CF114" s="6"/>
      <c r="CG114" s="9">
        <v>58</v>
      </c>
    </row>
    <row r="115" spans="1:85" x14ac:dyDescent="0.3">
      <c r="A115" s="3" t="str">
        <f t="shared" si="3"/>
        <v>ADDResearch InfrastructureArecibo ObservatoryTotal</v>
      </c>
      <c r="B115" s="6" t="s">
        <v>81</v>
      </c>
      <c r="C115" s="6" t="s">
        <v>179</v>
      </c>
      <c r="D115" s="6" t="s">
        <v>188</v>
      </c>
      <c r="E115" s="6" t="s">
        <v>24</v>
      </c>
      <c r="F115" s="6"/>
      <c r="G115" s="6"/>
      <c r="H115" s="6"/>
      <c r="I115" s="6"/>
      <c r="J115" s="6"/>
      <c r="K115" s="6"/>
      <c r="L115" s="6"/>
      <c r="M115" s="6"/>
      <c r="N115" s="6"/>
      <c r="O115" s="6"/>
      <c r="P115" s="6"/>
      <c r="Q115" s="6"/>
      <c r="R115" s="6"/>
      <c r="S115" s="6"/>
      <c r="T115" s="6"/>
      <c r="U115" s="6"/>
      <c r="V115" s="6"/>
      <c r="W115" s="6"/>
      <c r="X115" s="6"/>
      <c r="Y115" s="6"/>
      <c r="Z115" s="6"/>
      <c r="AA115" s="6"/>
      <c r="AB115" s="8">
        <v>3</v>
      </c>
      <c r="AC115" s="6"/>
      <c r="AD115" s="6"/>
      <c r="AE115" s="6"/>
      <c r="AF115" s="6"/>
      <c r="AG115" s="6"/>
      <c r="AH115" s="8">
        <v>3</v>
      </c>
      <c r="AI115" s="8">
        <v>3</v>
      </c>
      <c r="AJ115" s="6"/>
      <c r="AK115" s="6"/>
      <c r="AL115" s="6"/>
      <c r="AM115" s="6"/>
      <c r="AN115" s="6"/>
      <c r="AO115" s="6"/>
      <c r="AP115" s="8">
        <v>3</v>
      </c>
      <c r="AQ115" s="6"/>
      <c r="AR115" s="6"/>
      <c r="AS115" s="6"/>
      <c r="AT115" s="6"/>
      <c r="AU115" s="6"/>
      <c r="AV115" s="6"/>
      <c r="AW115" s="6"/>
      <c r="AX115" s="6"/>
      <c r="AY115" s="6"/>
      <c r="AZ115" s="6"/>
      <c r="BA115" s="6"/>
      <c r="BB115" s="6"/>
      <c r="BC115" s="6"/>
      <c r="BD115" s="6"/>
      <c r="BE115" s="6"/>
      <c r="BF115" s="6"/>
      <c r="BG115" s="6"/>
      <c r="BH115" s="6"/>
      <c r="BI115" s="6"/>
      <c r="BJ115" s="6"/>
      <c r="BK115" s="6"/>
      <c r="BL115" s="8">
        <v>6</v>
      </c>
      <c r="BM115" s="6"/>
      <c r="BN115" s="6"/>
      <c r="BO115" s="6"/>
      <c r="BP115" s="6"/>
      <c r="BQ115" s="6"/>
      <c r="BR115" s="6"/>
      <c r="BS115" s="6"/>
      <c r="BT115" s="6"/>
      <c r="BU115" s="6"/>
      <c r="BV115" s="6"/>
      <c r="BW115" s="6"/>
      <c r="BX115" s="6"/>
      <c r="BY115" s="6"/>
      <c r="BZ115" s="6"/>
      <c r="CA115" s="6"/>
      <c r="CB115" s="6"/>
      <c r="CC115" s="6"/>
      <c r="CD115" s="6"/>
      <c r="CE115" s="6"/>
      <c r="CF115" s="6"/>
      <c r="CG115" s="9">
        <v>6</v>
      </c>
    </row>
    <row r="116" spans="1:85" x14ac:dyDescent="0.3">
      <c r="A116" s="3" t="str">
        <f t="shared" si="3"/>
        <v>ADDResearch InfrastructureAtacama Large Millimeter Array (ALMA)Total</v>
      </c>
      <c r="B116" s="6" t="s">
        <v>81</v>
      </c>
      <c r="C116" s="6" t="s">
        <v>179</v>
      </c>
      <c r="D116" s="6" t="s">
        <v>190</v>
      </c>
      <c r="E116" s="6" t="s">
        <v>24</v>
      </c>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8">
        <v>50.63</v>
      </c>
      <c r="AJ116" s="6"/>
      <c r="AK116" s="6"/>
      <c r="AL116" s="6"/>
      <c r="AM116" s="8">
        <v>3.03</v>
      </c>
      <c r="AN116" s="6"/>
      <c r="AO116" s="6"/>
      <c r="AP116" s="8">
        <v>53.66</v>
      </c>
      <c r="AQ116" s="6"/>
      <c r="AR116" s="6"/>
      <c r="AS116" s="6"/>
      <c r="AT116" s="6"/>
      <c r="AU116" s="6"/>
      <c r="AV116" s="6"/>
      <c r="AW116" s="6"/>
      <c r="AX116" s="6"/>
      <c r="AY116" s="6"/>
      <c r="AZ116" s="6"/>
      <c r="BA116" s="6"/>
      <c r="BB116" s="6"/>
      <c r="BC116" s="6"/>
      <c r="BD116" s="6"/>
      <c r="BE116" s="6"/>
      <c r="BF116" s="6"/>
      <c r="BG116" s="6"/>
      <c r="BH116" s="6"/>
      <c r="BI116" s="6"/>
      <c r="BJ116" s="6"/>
      <c r="BK116" s="6"/>
      <c r="BL116" s="8">
        <v>53.66</v>
      </c>
      <c r="BM116" s="6"/>
      <c r="BN116" s="6"/>
      <c r="BO116" s="6"/>
      <c r="BP116" s="6"/>
      <c r="BQ116" s="6"/>
      <c r="BR116" s="6"/>
      <c r="BS116" s="6"/>
      <c r="BT116" s="8">
        <v>0</v>
      </c>
      <c r="BU116" s="8">
        <v>0</v>
      </c>
      <c r="BV116" s="8">
        <v>0</v>
      </c>
      <c r="BW116" s="6"/>
      <c r="BX116" s="6"/>
      <c r="BY116" s="6"/>
      <c r="BZ116" s="6"/>
      <c r="CA116" s="6"/>
      <c r="CB116" s="6"/>
      <c r="CC116" s="6"/>
      <c r="CD116" s="6"/>
      <c r="CE116" s="6"/>
      <c r="CF116" s="6"/>
      <c r="CG116" s="9">
        <v>53.66</v>
      </c>
    </row>
    <row r="117" spans="1:85" x14ac:dyDescent="0.3">
      <c r="A117" s="3" t="str">
        <f t="shared" si="3"/>
        <v>ADDResearch InfrastructureCenter for High Energy X-ray Science (CHEXS)Total</v>
      </c>
      <c r="B117" s="6" t="s">
        <v>81</v>
      </c>
      <c r="C117" s="6" t="s">
        <v>179</v>
      </c>
      <c r="D117" s="6" t="s">
        <v>191</v>
      </c>
      <c r="E117" s="6" t="s">
        <v>24</v>
      </c>
      <c r="F117" s="6"/>
      <c r="G117" s="6"/>
      <c r="H117" s="6"/>
      <c r="I117" s="6"/>
      <c r="J117" s="8">
        <v>1</v>
      </c>
      <c r="K117" s="6"/>
      <c r="L117" s="8">
        <v>1</v>
      </c>
      <c r="M117" s="6"/>
      <c r="N117" s="6"/>
      <c r="O117" s="6"/>
      <c r="P117" s="6"/>
      <c r="Q117" s="6"/>
      <c r="R117" s="6"/>
      <c r="S117" s="6"/>
      <c r="T117" s="6"/>
      <c r="U117" s="8">
        <v>0.8</v>
      </c>
      <c r="V117" s="8">
        <v>0.1</v>
      </c>
      <c r="W117" s="6"/>
      <c r="X117" s="8">
        <v>0.1</v>
      </c>
      <c r="Y117" s="6"/>
      <c r="Z117" s="6"/>
      <c r="AA117" s="8">
        <v>1</v>
      </c>
      <c r="AB117" s="6"/>
      <c r="AC117" s="6"/>
      <c r="AD117" s="6"/>
      <c r="AE117" s="6"/>
      <c r="AF117" s="6"/>
      <c r="AG117" s="6"/>
      <c r="AH117" s="6"/>
      <c r="AI117" s="6"/>
      <c r="AJ117" s="6"/>
      <c r="AK117" s="8">
        <v>7</v>
      </c>
      <c r="AL117" s="6"/>
      <c r="AM117" s="6"/>
      <c r="AN117" s="6"/>
      <c r="AO117" s="6"/>
      <c r="AP117" s="8">
        <v>7</v>
      </c>
      <c r="AQ117" s="6"/>
      <c r="AR117" s="6"/>
      <c r="AS117" s="6"/>
      <c r="AT117" s="6"/>
      <c r="AU117" s="6"/>
      <c r="AV117" s="6"/>
      <c r="AW117" s="6"/>
      <c r="AX117" s="6"/>
      <c r="AY117" s="6"/>
      <c r="AZ117" s="6"/>
      <c r="BA117" s="6"/>
      <c r="BB117" s="6"/>
      <c r="BC117" s="6"/>
      <c r="BD117" s="6"/>
      <c r="BE117" s="6"/>
      <c r="BF117" s="6"/>
      <c r="BG117" s="6"/>
      <c r="BH117" s="6"/>
      <c r="BI117" s="6"/>
      <c r="BJ117" s="6"/>
      <c r="BK117" s="6"/>
      <c r="BL117" s="8">
        <v>9</v>
      </c>
      <c r="BM117" s="6"/>
      <c r="BN117" s="6"/>
      <c r="BO117" s="6"/>
      <c r="BP117" s="6"/>
      <c r="BQ117" s="6"/>
      <c r="BR117" s="6"/>
      <c r="BS117" s="6"/>
      <c r="BT117" s="6"/>
      <c r="BU117" s="6"/>
      <c r="BV117" s="6"/>
      <c r="BW117" s="6"/>
      <c r="BX117" s="6"/>
      <c r="BY117" s="6"/>
      <c r="BZ117" s="6"/>
      <c r="CA117" s="6"/>
      <c r="CB117" s="6"/>
      <c r="CC117" s="6"/>
      <c r="CD117" s="6"/>
      <c r="CE117" s="6"/>
      <c r="CF117" s="6"/>
      <c r="CG117" s="9">
        <v>9</v>
      </c>
    </row>
    <row r="118" spans="1:85" x14ac:dyDescent="0.3">
      <c r="A118" s="3" t="str">
        <f t="shared" si="3"/>
        <v>ADDResearch InfrastructureDaniel K. Inouye Solar Telescope (DKIST)Total</v>
      </c>
      <c r="B118" s="6" t="s">
        <v>81</v>
      </c>
      <c r="C118" s="6" t="s">
        <v>179</v>
      </c>
      <c r="D118" s="6" t="s">
        <v>192</v>
      </c>
      <c r="E118" s="6" t="s">
        <v>24</v>
      </c>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8">
        <v>19.579999999999998</v>
      </c>
      <c r="AJ118" s="6"/>
      <c r="AK118" s="6"/>
      <c r="AL118" s="6"/>
      <c r="AM118" s="8">
        <v>1.1000000000000001</v>
      </c>
      <c r="AN118" s="6"/>
      <c r="AO118" s="6"/>
      <c r="AP118" s="8">
        <v>20.68</v>
      </c>
      <c r="AQ118" s="6"/>
      <c r="AR118" s="6"/>
      <c r="AS118" s="6"/>
      <c r="AT118" s="6"/>
      <c r="AU118" s="6"/>
      <c r="AV118" s="6"/>
      <c r="AW118" s="6"/>
      <c r="AX118" s="6"/>
      <c r="AY118" s="6"/>
      <c r="AZ118" s="6"/>
      <c r="BA118" s="6"/>
      <c r="BB118" s="6"/>
      <c r="BC118" s="6"/>
      <c r="BD118" s="6"/>
      <c r="BE118" s="6"/>
      <c r="BF118" s="6"/>
      <c r="BG118" s="6"/>
      <c r="BH118" s="6"/>
      <c r="BI118" s="6"/>
      <c r="BJ118" s="6"/>
      <c r="BK118" s="6"/>
      <c r="BL118" s="8">
        <v>20.68</v>
      </c>
      <c r="BM118" s="6"/>
      <c r="BN118" s="6"/>
      <c r="BO118" s="6"/>
      <c r="BP118" s="6"/>
      <c r="BQ118" s="6"/>
      <c r="BR118" s="6"/>
      <c r="BS118" s="6"/>
      <c r="BT118" s="8">
        <v>0</v>
      </c>
      <c r="BU118" s="8">
        <v>0</v>
      </c>
      <c r="BV118" s="8">
        <v>0</v>
      </c>
      <c r="BW118" s="6"/>
      <c r="BX118" s="6"/>
      <c r="BY118" s="6"/>
      <c r="BZ118" s="6"/>
      <c r="CA118" s="6"/>
      <c r="CB118" s="6"/>
      <c r="CC118" s="6"/>
      <c r="CD118" s="6"/>
      <c r="CE118" s="6"/>
      <c r="CF118" s="6"/>
      <c r="CG118" s="9">
        <v>20.68</v>
      </c>
    </row>
    <row r="119" spans="1:85" x14ac:dyDescent="0.3">
      <c r="A119" s="3" t="str">
        <f t="shared" si="3"/>
        <v>ADDResearch InfrastructureGemini ObservatoryTotal</v>
      </c>
      <c r="B119" s="6" t="s">
        <v>81</v>
      </c>
      <c r="C119" s="6" t="s">
        <v>179</v>
      </c>
      <c r="D119" s="6" t="s">
        <v>193</v>
      </c>
      <c r="E119" s="6" t="s">
        <v>24</v>
      </c>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8">
        <v>22.98</v>
      </c>
      <c r="AJ119" s="6"/>
      <c r="AK119" s="6"/>
      <c r="AL119" s="6"/>
      <c r="AM119" s="8">
        <v>1.63</v>
      </c>
      <c r="AN119" s="6"/>
      <c r="AO119" s="6"/>
      <c r="AP119" s="8">
        <v>24.61</v>
      </c>
      <c r="AQ119" s="6"/>
      <c r="AR119" s="6"/>
      <c r="AS119" s="6"/>
      <c r="AT119" s="6"/>
      <c r="AU119" s="6"/>
      <c r="AV119" s="6"/>
      <c r="AW119" s="6"/>
      <c r="AX119" s="6"/>
      <c r="AY119" s="6"/>
      <c r="AZ119" s="6"/>
      <c r="BA119" s="6"/>
      <c r="BB119" s="6"/>
      <c r="BC119" s="6"/>
      <c r="BD119" s="6"/>
      <c r="BE119" s="6"/>
      <c r="BF119" s="6"/>
      <c r="BG119" s="6"/>
      <c r="BH119" s="6"/>
      <c r="BI119" s="6"/>
      <c r="BJ119" s="6"/>
      <c r="BK119" s="6"/>
      <c r="BL119" s="8">
        <v>24.61</v>
      </c>
      <c r="BM119" s="6"/>
      <c r="BN119" s="6"/>
      <c r="BO119" s="6"/>
      <c r="BP119" s="6"/>
      <c r="BQ119" s="6"/>
      <c r="BR119" s="6"/>
      <c r="BS119" s="6"/>
      <c r="BT119" s="6"/>
      <c r="BU119" s="6"/>
      <c r="BV119" s="6"/>
      <c r="BW119" s="6"/>
      <c r="BX119" s="6"/>
      <c r="BY119" s="6"/>
      <c r="BZ119" s="6"/>
      <c r="CA119" s="6"/>
      <c r="CB119" s="6"/>
      <c r="CC119" s="6"/>
      <c r="CD119" s="6"/>
      <c r="CE119" s="6"/>
      <c r="CF119" s="6"/>
      <c r="CG119" s="9">
        <v>24.61</v>
      </c>
    </row>
    <row r="120" spans="1:85" x14ac:dyDescent="0.3">
      <c r="A120" s="3" t="str">
        <f t="shared" si="3"/>
        <v>ADDResearch InfrastructureGeodetic Facility for the Advancement of GEoscience (GAGE)Total</v>
      </c>
      <c r="B120" s="6" t="s">
        <v>81</v>
      </c>
      <c r="C120" s="6" t="s">
        <v>179</v>
      </c>
      <c r="D120" s="6" t="s">
        <v>194</v>
      </c>
      <c r="E120" s="6" t="s">
        <v>24</v>
      </c>
      <c r="F120" s="6"/>
      <c r="G120" s="6"/>
      <c r="H120" s="6"/>
      <c r="I120" s="6"/>
      <c r="J120" s="6"/>
      <c r="K120" s="6"/>
      <c r="L120" s="6"/>
      <c r="M120" s="6"/>
      <c r="N120" s="6"/>
      <c r="O120" s="6"/>
      <c r="P120" s="6"/>
      <c r="Q120" s="6"/>
      <c r="R120" s="6"/>
      <c r="S120" s="6"/>
      <c r="T120" s="6"/>
      <c r="U120" s="6"/>
      <c r="V120" s="6"/>
      <c r="W120" s="6"/>
      <c r="X120" s="6"/>
      <c r="Y120" s="6"/>
      <c r="Z120" s="6"/>
      <c r="AA120" s="6"/>
      <c r="AB120" s="6"/>
      <c r="AC120" s="8">
        <v>13.25</v>
      </c>
      <c r="AD120" s="6"/>
      <c r="AE120" s="8">
        <v>1.3</v>
      </c>
      <c r="AF120" s="6"/>
      <c r="AG120" s="6"/>
      <c r="AH120" s="8">
        <v>14.55</v>
      </c>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8">
        <v>14.55</v>
      </c>
      <c r="BM120" s="6"/>
      <c r="BN120" s="6"/>
      <c r="BO120" s="6"/>
      <c r="BP120" s="6"/>
      <c r="BQ120" s="6"/>
      <c r="BR120" s="6"/>
      <c r="BS120" s="6"/>
      <c r="BT120" s="6"/>
      <c r="BU120" s="6"/>
      <c r="BV120" s="6"/>
      <c r="BW120" s="6"/>
      <c r="BX120" s="6"/>
      <c r="BY120" s="6"/>
      <c r="BZ120" s="6"/>
      <c r="CA120" s="6"/>
      <c r="CB120" s="6"/>
      <c r="CC120" s="6"/>
      <c r="CD120" s="6"/>
      <c r="CE120" s="6"/>
      <c r="CF120" s="6"/>
      <c r="CG120" s="9">
        <v>14.55</v>
      </c>
    </row>
    <row r="121" spans="1:85" x14ac:dyDescent="0.3">
      <c r="A121" s="3" t="str">
        <f t="shared" si="3"/>
        <v>ADDResearch InfrastructureGreen Bank Observatory (GBO)Total</v>
      </c>
      <c r="B121" s="6" t="s">
        <v>81</v>
      </c>
      <c r="C121" s="6" t="s">
        <v>179</v>
      </c>
      <c r="D121" s="6" t="s">
        <v>195</v>
      </c>
      <c r="E121" s="6" t="s">
        <v>24</v>
      </c>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8">
        <v>9.1199999999999992</v>
      </c>
      <c r="AJ121" s="6"/>
      <c r="AK121" s="6"/>
      <c r="AL121" s="6"/>
      <c r="AM121" s="8">
        <v>1.71</v>
      </c>
      <c r="AN121" s="6"/>
      <c r="AO121" s="6"/>
      <c r="AP121" s="8">
        <v>10.83</v>
      </c>
      <c r="AQ121" s="6"/>
      <c r="AR121" s="6"/>
      <c r="AS121" s="6"/>
      <c r="AT121" s="6"/>
      <c r="AU121" s="6"/>
      <c r="AV121" s="6"/>
      <c r="AW121" s="6"/>
      <c r="AX121" s="6"/>
      <c r="AY121" s="6"/>
      <c r="AZ121" s="6"/>
      <c r="BA121" s="6"/>
      <c r="BB121" s="6"/>
      <c r="BC121" s="6"/>
      <c r="BD121" s="6"/>
      <c r="BE121" s="6"/>
      <c r="BF121" s="6"/>
      <c r="BG121" s="6"/>
      <c r="BH121" s="6"/>
      <c r="BI121" s="6"/>
      <c r="BJ121" s="6"/>
      <c r="BK121" s="6"/>
      <c r="BL121" s="8">
        <v>10.83</v>
      </c>
      <c r="BM121" s="6"/>
      <c r="BN121" s="6"/>
      <c r="BO121" s="6"/>
      <c r="BP121" s="6"/>
      <c r="BQ121" s="6"/>
      <c r="BR121" s="6"/>
      <c r="BS121" s="6"/>
      <c r="BT121" s="6"/>
      <c r="BU121" s="6"/>
      <c r="BV121" s="6"/>
      <c r="BW121" s="6"/>
      <c r="BX121" s="6"/>
      <c r="BY121" s="6"/>
      <c r="BZ121" s="6"/>
      <c r="CA121" s="6"/>
      <c r="CB121" s="6"/>
      <c r="CC121" s="6"/>
      <c r="CD121" s="6"/>
      <c r="CE121" s="6"/>
      <c r="CF121" s="6"/>
      <c r="CG121" s="9">
        <v>10.83</v>
      </c>
    </row>
    <row r="122" spans="1:85" x14ac:dyDescent="0.3">
      <c r="A122" s="3" t="str">
        <f t="shared" si="3"/>
        <v>ADDResearch InfrastructureIceCube Neutrino Observatory (IceCube)Total</v>
      </c>
      <c r="B122" s="6" t="s">
        <v>81</v>
      </c>
      <c r="C122" s="6" t="s">
        <v>179</v>
      </c>
      <c r="D122" s="6" t="s">
        <v>196</v>
      </c>
      <c r="E122" s="6" t="s">
        <v>24</v>
      </c>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8">
        <v>3.83</v>
      </c>
      <c r="AF122" s="6"/>
      <c r="AG122" s="6"/>
      <c r="AH122" s="8">
        <v>3.83</v>
      </c>
      <c r="AI122" s="6"/>
      <c r="AJ122" s="6"/>
      <c r="AK122" s="6"/>
      <c r="AL122" s="6"/>
      <c r="AM122" s="6"/>
      <c r="AN122" s="8">
        <v>3.83</v>
      </c>
      <c r="AO122" s="6"/>
      <c r="AP122" s="8">
        <v>3.83</v>
      </c>
      <c r="AQ122" s="6"/>
      <c r="AR122" s="6"/>
      <c r="AS122" s="6"/>
      <c r="AT122" s="6"/>
      <c r="AU122" s="6"/>
      <c r="AV122" s="6"/>
      <c r="AW122" s="6"/>
      <c r="AX122" s="6"/>
      <c r="AY122" s="6"/>
      <c r="AZ122" s="6"/>
      <c r="BA122" s="6"/>
      <c r="BB122" s="6"/>
      <c r="BC122" s="6"/>
      <c r="BD122" s="6"/>
      <c r="BE122" s="6"/>
      <c r="BF122" s="6"/>
      <c r="BG122" s="6"/>
      <c r="BH122" s="6"/>
      <c r="BI122" s="6"/>
      <c r="BJ122" s="6"/>
      <c r="BK122" s="6"/>
      <c r="BL122" s="8">
        <v>7.66</v>
      </c>
      <c r="BM122" s="6"/>
      <c r="BN122" s="6"/>
      <c r="BO122" s="6"/>
      <c r="BP122" s="6"/>
      <c r="BQ122" s="6"/>
      <c r="BR122" s="6"/>
      <c r="BS122" s="6"/>
      <c r="BT122" s="6"/>
      <c r="BU122" s="6"/>
      <c r="BV122" s="6"/>
      <c r="BW122" s="6"/>
      <c r="BX122" s="6"/>
      <c r="BY122" s="6"/>
      <c r="BZ122" s="6"/>
      <c r="CA122" s="6"/>
      <c r="CB122" s="6"/>
      <c r="CC122" s="6"/>
      <c r="CD122" s="6"/>
      <c r="CE122" s="6"/>
      <c r="CF122" s="6"/>
      <c r="CG122" s="9">
        <v>7.66</v>
      </c>
    </row>
    <row r="123" spans="1:85" x14ac:dyDescent="0.3">
      <c r="A123" s="3" t="str">
        <f t="shared" si="3"/>
        <v>ADDResearch InfrastructureInternational Ocean Discovery Program (IODP)Total</v>
      </c>
      <c r="B123" s="6" t="s">
        <v>81</v>
      </c>
      <c r="C123" s="6" t="s">
        <v>179</v>
      </c>
      <c r="D123" s="6" t="s">
        <v>197</v>
      </c>
      <c r="E123" s="6" t="s">
        <v>24</v>
      </c>
      <c r="F123" s="6"/>
      <c r="G123" s="6"/>
      <c r="H123" s="6"/>
      <c r="I123" s="6"/>
      <c r="J123" s="6"/>
      <c r="K123" s="6"/>
      <c r="L123" s="6"/>
      <c r="M123" s="6"/>
      <c r="N123" s="6"/>
      <c r="O123" s="6"/>
      <c r="P123" s="6"/>
      <c r="Q123" s="6"/>
      <c r="R123" s="6"/>
      <c r="S123" s="6"/>
      <c r="T123" s="6"/>
      <c r="U123" s="6"/>
      <c r="V123" s="6"/>
      <c r="W123" s="6"/>
      <c r="X123" s="6"/>
      <c r="Y123" s="6"/>
      <c r="Z123" s="6"/>
      <c r="AA123" s="6"/>
      <c r="AB123" s="6"/>
      <c r="AC123" s="6"/>
      <c r="AD123" s="8">
        <v>50.4</v>
      </c>
      <c r="AE123" s="6"/>
      <c r="AF123" s="6"/>
      <c r="AG123" s="6"/>
      <c r="AH123" s="8">
        <v>50.4</v>
      </c>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8">
        <v>50.4</v>
      </c>
      <c r="BM123" s="6"/>
      <c r="BN123" s="6"/>
      <c r="BO123" s="6"/>
      <c r="BP123" s="6"/>
      <c r="BQ123" s="6"/>
      <c r="BR123" s="6"/>
      <c r="BS123" s="6"/>
      <c r="BT123" s="6"/>
      <c r="BU123" s="6"/>
      <c r="BV123" s="6"/>
      <c r="BW123" s="6"/>
      <c r="BX123" s="6"/>
      <c r="BY123" s="6"/>
      <c r="BZ123" s="6"/>
      <c r="CA123" s="6"/>
      <c r="CB123" s="6"/>
      <c r="CC123" s="6"/>
      <c r="CD123" s="6"/>
      <c r="CE123" s="6"/>
      <c r="CF123" s="6"/>
      <c r="CG123" s="9">
        <v>50.4</v>
      </c>
    </row>
    <row r="124" spans="1:85" x14ac:dyDescent="0.3">
      <c r="A124" s="3" t="str">
        <f t="shared" si="3"/>
        <v>ADDResearch InfrastructureLarge Hadron Collider (LHC)Total</v>
      </c>
      <c r="B124" s="6" t="s">
        <v>81</v>
      </c>
      <c r="C124" s="6" t="s">
        <v>179</v>
      </c>
      <c r="D124" s="6" t="s">
        <v>198</v>
      </c>
      <c r="E124" s="6" t="s">
        <v>24</v>
      </c>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8">
        <v>20.5</v>
      </c>
      <c r="AO124" s="6"/>
      <c r="AP124" s="8">
        <v>20.5</v>
      </c>
      <c r="AQ124" s="6"/>
      <c r="AR124" s="6"/>
      <c r="AS124" s="6"/>
      <c r="AT124" s="6"/>
      <c r="AU124" s="6"/>
      <c r="AV124" s="6"/>
      <c r="AW124" s="6"/>
      <c r="AX124" s="6"/>
      <c r="AY124" s="6"/>
      <c r="AZ124" s="6"/>
      <c r="BA124" s="6"/>
      <c r="BB124" s="6"/>
      <c r="BC124" s="6"/>
      <c r="BD124" s="6"/>
      <c r="BE124" s="6"/>
      <c r="BF124" s="6"/>
      <c r="BG124" s="6"/>
      <c r="BH124" s="6"/>
      <c r="BI124" s="6"/>
      <c r="BJ124" s="6"/>
      <c r="BK124" s="6"/>
      <c r="BL124" s="8">
        <v>20.5</v>
      </c>
      <c r="BM124" s="6"/>
      <c r="BN124" s="6"/>
      <c r="BO124" s="6"/>
      <c r="BP124" s="6"/>
      <c r="BQ124" s="6"/>
      <c r="BR124" s="6"/>
      <c r="BS124" s="6"/>
      <c r="BT124" s="8">
        <v>33</v>
      </c>
      <c r="BU124" s="8">
        <v>33</v>
      </c>
      <c r="BV124" s="8">
        <v>33</v>
      </c>
      <c r="BW124" s="6"/>
      <c r="BX124" s="6"/>
      <c r="BY124" s="6"/>
      <c r="BZ124" s="6"/>
      <c r="CA124" s="6"/>
      <c r="CB124" s="6"/>
      <c r="CC124" s="6"/>
      <c r="CD124" s="6"/>
      <c r="CE124" s="6"/>
      <c r="CF124" s="6"/>
      <c r="CG124" s="9">
        <v>53.5</v>
      </c>
    </row>
    <row r="125" spans="1:85" x14ac:dyDescent="0.3">
      <c r="A125" s="3" t="str">
        <f t="shared" si="3"/>
        <v>ADDResearch InfrastructureLaser-Interferometer Gravitational-Wave Observatory (LIGO)Total</v>
      </c>
      <c r="B125" s="6" t="s">
        <v>81</v>
      </c>
      <c r="C125" s="6" t="s">
        <v>179</v>
      </c>
      <c r="D125" s="6" t="s">
        <v>199</v>
      </c>
      <c r="E125" s="6" t="s">
        <v>24</v>
      </c>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8">
        <v>45</v>
      </c>
      <c r="AO125" s="6"/>
      <c r="AP125" s="8">
        <v>45</v>
      </c>
      <c r="AQ125" s="6"/>
      <c r="AR125" s="6"/>
      <c r="AS125" s="6"/>
      <c r="AT125" s="6"/>
      <c r="AU125" s="6"/>
      <c r="AV125" s="6"/>
      <c r="AW125" s="6"/>
      <c r="AX125" s="6"/>
      <c r="AY125" s="6"/>
      <c r="AZ125" s="6"/>
      <c r="BA125" s="6"/>
      <c r="BB125" s="6"/>
      <c r="BC125" s="6"/>
      <c r="BD125" s="6"/>
      <c r="BE125" s="6"/>
      <c r="BF125" s="6"/>
      <c r="BG125" s="6"/>
      <c r="BH125" s="6"/>
      <c r="BI125" s="6"/>
      <c r="BJ125" s="6"/>
      <c r="BK125" s="6"/>
      <c r="BL125" s="8">
        <v>45</v>
      </c>
      <c r="BM125" s="6"/>
      <c r="BN125" s="6"/>
      <c r="BO125" s="6"/>
      <c r="BP125" s="6"/>
      <c r="BQ125" s="6"/>
      <c r="BR125" s="6"/>
      <c r="BS125" s="6"/>
      <c r="BT125" s="6"/>
      <c r="BU125" s="6"/>
      <c r="BV125" s="6"/>
      <c r="BW125" s="6"/>
      <c r="BX125" s="6"/>
      <c r="BY125" s="6"/>
      <c r="BZ125" s="6"/>
      <c r="CA125" s="6"/>
      <c r="CB125" s="6"/>
      <c r="CC125" s="6"/>
      <c r="CD125" s="6"/>
      <c r="CE125" s="6"/>
      <c r="CF125" s="6"/>
      <c r="CG125" s="9">
        <v>45</v>
      </c>
    </row>
    <row r="126" spans="1:85" x14ac:dyDescent="0.3">
      <c r="A126" s="3" t="str">
        <f t="shared" si="3"/>
        <v>ADDResearch InfrastructureMajor Research Instrumentation (MRI)Total</v>
      </c>
      <c r="B126" s="6" t="s">
        <v>81</v>
      </c>
      <c r="C126" s="6" t="s">
        <v>179</v>
      </c>
      <c r="D126" s="6" t="s">
        <v>200</v>
      </c>
      <c r="E126" s="6" t="s">
        <v>24</v>
      </c>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8">
        <v>75</v>
      </c>
      <c r="BG126" s="8">
        <v>75</v>
      </c>
      <c r="BH126" s="6"/>
      <c r="BI126" s="6"/>
      <c r="BJ126" s="6"/>
      <c r="BK126" s="6"/>
      <c r="BL126" s="8">
        <v>75</v>
      </c>
      <c r="BM126" s="6"/>
      <c r="BN126" s="6"/>
      <c r="BO126" s="6"/>
      <c r="BP126" s="6"/>
      <c r="BQ126" s="6"/>
      <c r="BR126" s="6"/>
      <c r="BS126" s="6"/>
      <c r="BT126" s="6"/>
      <c r="BU126" s="6"/>
      <c r="BV126" s="6"/>
      <c r="BW126" s="6"/>
      <c r="BX126" s="6"/>
      <c r="BY126" s="6"/>
      <c r="BZ126" s="6"/>
      <c r="CA126" s="6"/>
      <c r="CB126" s="6"/>
      <c r="CC126" s="6"/>
      <c r="CD126" s="6"/>
      <c r="CE126" s="6"/>
      <c r="CF126" s="6"/>
      <c r="CG126" s="9">
        <v>75</v>
      </c>
    </row>
    <row r="127" spans="1:85" x14ac:dyDescent="0.3">
      <c r="A127" s="3" t="str">
        <f t="shared" si="3"/>
        <v>ADDResearch InfrastructureMRIDP: Mid-scale RI Directorate ProgramsTotal</v>
      </c>
      <c r="B127" s="6" t="s">
        <v>81</v>
      </c>
      <c r="C127" s="6" t="s">
        <v>179</v>
      </c>
      <c r="D127" s="6" t="s">
        <v>201</v>
      </c>
      <c r="E127" s="6" t="s">
        <v>24</v>
      </c>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8">
        <v>0</v>
      </c>
      <c r="AF127" s="8">
        <v>0</v>
      </c>
      <c r="AG127" s="6"/>
      <c r="AH127" s="8">
        <v>0</v>
      </c>
      <c r="AI127" s="8">
        <v>19.5</v>
      </c>
      <c r="AJ127" s="8">
        <v>0.6</v>
      </c>
      <c r="AK127" s="8">
        <v>15.34</v>
      </c>
      <c r="AL127" s="6"/>
      <c r="AM127" s="6"/>
      <c r="AN127" s="8">
        <v>18.5</v>
      </c>
      <c r="AO127" s="6"/>
      <c r="AP127" s="8">
        <v>53.94</v>
      </c>
      <c r="AQ127" s="6"/>
      <c r="AR127" s="6"/>
      <c r="AS127" s="6"/>
      <c r="AT127" s="6"/>
      <c r="AU127" s="6"/>
      <c r="AV127" s="6"/>
      <c r="AW127" s="6"/>
      <c r="AX127" s="6"/>
      <c r="AY127" s="6"/>
      <c r="AZ127" s="6"/>
      <c r="BA127" s="6"/>
      <c r="BB127" s="6"/>
      <c r="BC127" s="6"/>
      <c r="BD127" s="6"/>
      <c r="BE127" s="6"/>
      <c r="BF127" s="6"/>
      <c r="BG127" s="6"/>
      <c r="BH127" s="6"/>
      <c r="BI127" s="6"/>
      <c r="BJ127" s="6"/>
      <c r="BK127" s="6"/>
      <c r="BL127" s="8">
        <v>53.94</v>
      </c>
      <c r="BM127" s="6"/>
      <c r="BN127" s="6"/>
      <c r="BO127" s="6"/>
      <c r="BP127" s="6"/>
      <c r="BQ127" s="6"/>
      <c r="BR127" s="6"/>
      <c r="BS127" s="6"/>
      <c r="BT127" s="6"/>
      <c r="BU127" s="6"/>
      <c r="BV127" s="6"/>
      <c r="BW127" s="6"/>
      <c r="BX127" s="6"/>
      <c r="BY127" s="6"/>
      <c r="BZ127" s="6"/>
      <c r="CA127" s="6"/>
      <c r="CB127" s="6"/>
      <c r="CC127" s="6"/>
      <c r="CD127" s="6"/>
      <c r="CE127" s="6"/>
      <c r="CF127" s="6"/>
      <c r="CG127" s="9">
        <v>53.94</v>
      </c>
    </row>
    <row r="128" spans="1:85" x14ac:dyDescent="0.3">
      <c r="A128" s="3" t="str">
        <f t="shared" si="3"/>
        <v>ADDResearch InfrastructureMSRIAP: Mid-scale Research Infrastructure Agency ProgramTotal</v>
      </c>
      <c r="B128" s="6" t="s">
        <v>81</v>
      </c>
      <c r="C128" s="6" t="s">
        <v>179</v>
      </c>
      <c r="D128" s="6" t="s">
        <v>202</v>
      </c>
      <c r="E128" s="6" t="s">
        <v>24</v>
      </c>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8">
        <v>50</v>
      </c>
      <c r="BG128" s="8">
        <v>50</v>
      </c>
      <c r="BH128" s="6"/>
      <c r="BI128" s="6"/>
      <c r="BJ128" s="6"/>
      <c r="BK128" s="6"/>
      <c r="BL128" s="8">
        <v>50</v>
      </c>
      <c r="BM128" s="6"/>
      <c r="BN128" s="6"/>
      <c r="BO128" s="6"/>
      <c r="BP128" s="6"/>
      <c r="BQ128" s="6"/>
      <c r="BR128" s="6"/>
      <c r="BS128" s="6"/>
      <c r="BT128" s="8">
        <v>76.25</v>
      </c>
      <c r="BU128" s="8">
        <v>76.25</v>
      </c>
      <c r="BV128" s="8">
        <v>76.25</v>
      </c>
      <c r="BW128" s="6"/>
      <c r="BX128" s="6"/>
      <c r="BY128" s="6"/>
      <c r="BZ128" s="6"/>
      <c r="CA128" s="6"/>
      <c r="CB128" s="6"/>
      <c r="CC128" s="6"/>
      <c r="CD128" s="6"/>
      <c r="CE128" s="6"/>
      <c r="CF128" s="6"/>
      <c r="CG128" s="9">
        <v>126.25</v>
      </c>
    </row>
    <row r="129" spans="1:85" x14ac:dyDescent="0.3">
      <c r="A129" s="3" t="str">
        <f t="shared" si="3"/>
        <v>ADDResearch InfrastructureNational Center for Atmospheric Research (NCAR)Total</v>
      </c>
      <c r="B129" s="6" t="s">
        <v>81</v>
      </c>
      <c r="C129" s="6" t="s">
        <v>179</v>
      </c>
      <c r="D129" s="6" t="s">
        <v>203</v>
      </c>
      <c r="E129" s="6" t="s">
        <v>24</v>
      </c>
      <c r="F129" s="6"/>
      <c r="G129" s="6"/>
      <c r="H129" s="6"/>
      <c r="I129" s="6"/>
      <c r="J129" s="6"/>
      <c r="K129" s="6"/>
      <c r="L129" s="6"/>
      <c r="M129" s="6"/>
      <c r="N129" s="6"/>
      <c r="O129" s="6"/>
      <c r="P129" s="6"/>
      <c r="Q129" s="6"/>
      <c r="R129" s="6"/>
      <c r="S129" s="6"/>
      <c r="T129" s="6"/>
      <c r="U129" s="6"/>
      <c r="V129" s="6"/>
      <c r="W129" s="6"/>
      <c r="X129" s="6"/>
      <c r="Y129" s="6"/>
      <c r="Z129" s="6"/>
      <c r="AA129" s="6"/>
      <c r="AB129" s="8">
        <v>116.2</v>
      </c>
      <c r="AC129" s="6"/>
      <c r="AD129" s="6"/>
      <c r="AE129" s="6"/>
      <c r="AF129" s="6"/>
      <c r="AG129" s="6"/>
      <c r="AH129" s="8">
        <v>116.2</v>
      </c>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8">
        <v>116.2</v>
      </c>
      <c r="BM129" s="6"/>
      <c r="BN129" s="6"/>
      <c r="BO129" s="6"/>
      <c r="BP129" s="6"/>
      <c r="BQ129" s="6"/>
      <c r="BR129" s="6"/>
      <c r="BS129" s="6"/>
      <c r="BT129" s="6"/>
      <c r="BU129" s="6"/>
      <c r="BV129" s="6"/>
      <c r="BW129" s="6"/>
      <c r="BX129" s="6"/>
      <c r="BY129" s="6"/>
      <c r="BZ129" s="6"/>
      <c r="CA129" s="6"/>
      <c r="CB129" s="6"/>
      <c r="CC129" s="6"/>
      <c r="CD129" s="6"/>
      <c r="CE129" s="6"/>
      <c r="CF129" s="6"/>
      <c r="CG129" s="9">
        <v>116.2</v>
      </c>
    </row>
    <row r="130" spans="1:85" x14ac:dyDescent="0.3">
      <c r="A130" s="3" t="str">
        <f t="shared" si="3"/>
        <v>ADDResearch InfrastructureNational Center for Science &amp; Engineering Statistics (NCSES)Total</v>
      </c>
      <c r="B130" s="6" t="s">
        <v>81</v>
      </c>
      <c r="C130" s="6" t="s">
        <v>179</v>
      </c>
      <c r="D130" s="6" t="s">
        <v>204</v>
      </c>
      <c r="E130" s="6" t="s">
        <v>24</v>
      </c>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8">
        <v>73.97</v>
      </c>
      <c r="AS130" s="6"/>
      <c r="AT130" s="6"/>
      <c r="AU130" s="6"/>
      <c r="AV130" s="8">
        <v>73.97</v>
      </c>
      <c r="AW130" s="6"/>
      <c r="AX130" s="6"/>
      <c r="AY130" s="6"/>
      <c r="AZ130" s="6"/>
      <c r="BA130" s="6"/>
      <c r="BB130" s="6"/>
      <c r="BC130" s="6"/>
      <c r="BD130" s="6"/>
      <c r="BE130" s="6"/>
      <c r="BF130" s="6"/>
      <c r="BG130" s="6"/>
      <c r="BH130" s="6"/>
      <c r="BI130" s="6"/>
      <c r="BJ130" s="6"/>
      <c r="BK130" s="6"/>
      <c r="BL130" s="8">
        <v>73.97</v>
      </c>
      <c r="BM130" s="6"/>
      <c r="BN130" s="6"/>
      <c r="BO130" s="6"/>
      <c r="BP130" s="6"/>
      <c r="BQ130" s="6"/>
      <c r="BR130" s="6"/>
      <c r="BS130" s="6"/>
      <c r="BT130" s="6"/>
      <c r="BU130" s="6"/>
      <c r="BV130" s="6"/>
      <c r="BW130" s="6"/>
      <c r="BX130" s="6"/>
      <c r="BY130" s="6"/>
      <c r="BZ130" s="6"/>
      <c r="CA130" s="6"/>
      <c r="CB130" s="6"/>
      <c r="CC130" s="6"/>
      <c r="CD130" s="6"/>
      <c r="CE130" s="6"/>
      <c r="CF130" s="6"/>
      <c r="CG130" s="9">
        <v>73.97</v>
      </c>
    </row>
    <row r="131" spans="1:85" x14ac:dyDescent="0.3">
      <c r="A131" s="3" t="str">
        <f t="shared" si="3"/>
        <v>ADDResearch InfrastructureNational Ecological Observatory Network (NEON)Total</v>
      </c>
      <c r="B131" s="6" t="s">
        <v>81</v>
      </c>
      <c r="C131" s="6" t="s">
        <v>179</v>
      </c>
      <c r="D131" s="6" t="s">
        <v>205</v>
      </c>
      <c r="E131" s="6" t="s">
        <v>24</v>
      </c>
      <c r="F131" s="8">
        <v>70</v>
      </c>
      <c r="G131" s="6"/>
      <c r="H131" s="6"/>
      <c r="I131" s="6"/>
      <c r="J131" s="6"/>
      <c r="K131" s="6"/>
      <c r="L131" s="8">
        <v>70</v>
      </c>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8">
        <v>70</v>
      </c>
      <c r="BM131" s="6"/>
      <c r="BN131" s="6"/>
      <c r="BO131" s="6"/>
      <c r="BP131" s="6"/>
      <c r="BQ131" s="6"/>
      <c r="BR131" s="6"/>
      <c r="BS131" s="6"/>
      <c r="BT131" s="8">
        <v>0</v>
      </c>
      <c r="BU131" s="8">
        <v>0</v>
      </c>
      <c r="BV131" s="8">
        <v>0</v>
      </c>
      <c r="BW131" s="6"/>
      <c r="BX131" s="6"/>
      <c r="BY131" s="6"/>
      <c r="BZ131" s="6"/>
      <c r="CA131" s="6"/>
      <c r="CB131" s="6"/>
      <c r="CC131" s="6"/>
      <c r="CD131" s="6"/>
      <c r="CE131" s="6"/>
      <c r="CF131" s="6"/>
      <c r="CG131" s="9">
        <v>70</v>
      </c>
    </row>
    <row r="132" spans="1:85" x14ac:dyDescent="0.3">
      <c r="A132" s="3" t="str">
        <f t="shared" si="3"/>
        <v>ADDResearch InfrastructureNational High-Magnetic Field Laboratory (NHMFL)Total</v>
      </c>
      <c r="B132" s="6" t="s">
        <v>81</v>
      </c>
      <c r="C132" s="6" t="s">
        <v>179</v>
      </c>
      <c r="D132" s="6" t="s">
        <v>206</v>
      </c>
      <c r="E132" s="6" t="s">
        <v>24</v>
      </c>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8">
        <v>2.1</v>
      </c>
      <c r="AK132" s="8">
        <v>37.81</v>
      </c>
      <c r="AL132" s="6"/>
      <c r="AM132" s="8">
        <v>0.57999999999999996</v>
      </c>
      <c r="AN132" s="6"/>
      <c r="AO132" s="6"/>
      <c r="AP132" s="8">
        <v>40.49</v>
      </c>
      <c r="AQ132" s="6"/>
      <c r="AR132" s="6"/>
      <c r="AS132" s="6"/>
      <c r="AT132" s="6"/>
      <c r="AU132" s="6"/>
      <c r="AV132" s="6"/>
      <c r="AW132" s="6"/>
      <c r="AX132" s="6"/>
      <c r="AY132" s="6"/>
      <c r="AZ132" s="6"/>
      <c r="BA132" s="6"/>
      <c r="BB132" s="6"/>
      <c r="BC132" s="6"/>
      <c r="BD132" s="6"/>
      <c r="BE132" s="6"/>
      <c r="BF132" s="6"/>
      <c r="BG132" s="6"/>
      <c r="BH132" s="6"/>
      <c r="BI132" s="6"/>
      <c r="BJ132" s="6"/>
      <c r="BK132" s="6"/>
      <c r="BL132" s="8">
        <v>40.49</v>
      </c>
      <c r="BM132" s="6"/>
      <c r="BN132" s="6"/>
      <c r="BO132" s="6"/>
      <c r="BP132" s="6"/>
      <c r="BQ132" s="6"/>
      <c r="BR132" s="6"/>
      <c r="BS132" s="6"/>
      <c r="BT132" s="6"/>
      <c r="BU132" s="6"/>
      <c r="BV132" s="6"/>
      <c r="BW132" s="6"/>
      <c r="BX132" s="6"/>
      <c r="BY132" s="6"/>
      <c r="BZ132" s="6"/>
      <c r="CA132" s="6"/>
      <c r="CB132" s="6"/>
      <c r="CC132" s="6"/>
      <c r="CD132" s="6"/>
      <c r="CE132" s="6"/>
      <c r="CF132" s="6"/>
      <c r="CG132" s="9">
        <v>40.49</v>
      </c>
    </row>
    <row r="133" spans="1:85" x14ac:dyDescent="0.3">
      <c r="A133" s="3" t="str">
        <f t="shared" si="3"/>
        <v>ADDResearch InfrastructureNational Nanotechnology Coordinated Infrastructure (NNCI)Total</v>
      </c>
      <c r="B133" s="6" t="s">
        <v>81</v>
      </c>
      <c r="C133" s="6" t="s">
        <v>179</v>
      </c>
      <c r="D133" s="6" t="s">
        <v>207</v>
      </c>
      <c r="E133" s="6" t="s">
        <v>24</v>
      </c>
      <c r="F133" s="8">
        <v>0.35</v>
      </c>
      <c r="G133" s="6"/>
      <c r="H133" s="6"/>
      <c r="I133" s="6"/>
      <c r="J133" s="6"/>
      <c r="K133" s="6"/>
      <c r="L133" s="8">
        <v>0.35</v>
      </c>
      <c r="M133" s="8">
        <v>0.6</v>
      </c>
      <c r="N133" s="6"/>
      <c r="O133" s="6"/>
      <c r="P133" s="6"/>
      <c r="Q133" s="6"/>
      <c r="R133" s="6"/>
      <c r="S133" s="8">
        <v>0.6</v>
      </c>
      <c r="T133" s="8">
        <v>3.69</v>
      </c>
      <c r="U133" s="8">
        <v>1.9</v>
      </c>
      <c r="V133" s="8">
        <v>5.24</v>
      </c>
      <c r="W133" s="6"/>
      <c r="X133" s="6"/>
      <c r="Y133" s="6"/>
      <c r="Z133" s="6"/>
      <c r="AA133" s="8">
        <v>10.83</v>
      </c>
      <c r="AB133" s="6"/>
      <c r="AC133" s="8">
        <v>0.3</v>
      </c>
      <c r="AD133" s="6"/>
      <c r="AE133" s="6"/>
      <c r="AF133" s="8">
        <v>0</v>
      </c>
      <c r="AG133" s="6"/>
      <c r="AH133" s="8">
        <v>0.3</v>
      </c>
      <c r="AI133" s="6"/>
      <c r="AJ133" s="8">
        <v>0.3</v>
      </c>
      <c r="AK133" s="8">
        <v>2.58</v>
      </c>
      <c r="AL133" s="6"/>
      <c r="AM133" s="6"/>
      <c r="AN133" s="6"/>
      <c r="AO133" s="6"/>
      <c r="AP133" s="8">
        <v>2.88</v>
      </c>
      <c r="AQ133" s="6"/>
      <c r="AR133" s="6"/>
      <c r="AS133" s="6"/>
      <c r="AT133" s="8">
        <v>0.4</v>
      </c>
      <c r="AU133" s="6"/>
      <c r="AV133" s="8">
        <v>0.4</v>
      </c>
      <c r="AW133" s="6"/>
      <c r="AX133" s="6"/>
      <c r="AY133" s="6"/>
      <c r="AZ133" s="6"/>
      <c r="BA133" s="6"/>
      <c r="BB133" s="6"/>
      <c r="BC133" s="8">
        <v>0.1</v>
      </c>
      <c r="BD133" s="8">
        <v>0.1</v>
      </c>
      <c r="BE133" s="6"/>
      <c r="BF133" s="6"/>
      <c r="BG133" s="6"/>
      <c r="BH133" s="6"/>
      <c r="BI133" s="6"/>
      <c r="BJ133" s="6"/>
      <c r="BK133" s="6"/>
      <c r="BL133" s="8">
        <v>15.46</v>
      </c>
      <c r="BM133" s="6"/>
      <c r="BN133" s="6"/>
      <c r="BO133" s="6"/>
      <c r="BP133" s="6"/>
      <c r="BQ133" s="6"/>
      <c r="BR133" s="6"/>
      <c r="BS133" s="6"/>
      <c r="BT133" s="6"/>
      <c r="BU133" s="6"/>
      <c r="BV133" s="6"/>
      <c r="BW133" s="6"/>
      <c r="BX133" s="6"/>
      <c r="BY133" s="6"/>
      <c r="BZ133" s="6"/>
      <c r="CA133" s="6"/>
      <c r="CB133" s="6"/>
      <c r="CC133" s="6"/>
      <c r="CD133" s="6"/>
      <c r="CE133" s="6"/>
      <c r="CF133" s="6"/>
      <c r="CG133" s="9">
        <v>15.46</v>
      </c>
    </row>
    <row r="134" spans="1:85" x14ac:dyDescent="0.3">
      <c r="A134" s="3" t="str">
        <f t="shared" si="3"/>
        <v>ADDResearch InfrastructureNational Radio Astronomy Observatory (NRAO)Total</v>
      </c>
      <c r="B134" s="6" t="s">
        <v>81</v>
      </c>
      <c r="C134" s="6" t="s">
        <v>179</v>
      </c>
      <c r="D134" s="6" t="s">
        <v>209</v>
      </c>
      <c r="E134" s="6" t="s">
        <v>24</v>
      </c>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8">
        <v>40.53</v>
      </c>
      <c r="AJ134" s="6"/>
      <c r="AK134" s="6"/>
      <c r="AL134" s="6"/>
      <c r="AM134" s="8">
        <v>3.92</v>
      </c>
      <c r="AN134" s="6"/>
      <c r="AO134" s="6"/>
      <c r="AP134" s="8">
        <v>44.45</v>
      </c>
      <c r="AQ134" s="6"/>
      <c r="AR134" s="6"/>
      <c r="AS134" s="6"/>
      <c r="AT134" s="6"/>
      <c r="AU134" s="6"/>
      <c r="AV134" s="6"/>
      <c r="AW134" s="6"/>
      <c r="AX134" s="6"/>
      <c r="AY134" s="6"/>
      <c r="AZ134" s="6"/>
      <c r="BA134" s="6"/>
      <c r="BB134" s="6"/>
      <c r="BC134" s="6"/>
      <c r="BD134" s="6"/>
      <c r="BE134" s="6"/>
      <c r="BF134" s="6"/>
      <c r="BG134" s="6"/>
      <c r="BH134" s="6"/>
      <c r="BI134" s="6"/>
      <c r="BJ134" s="6"/>
      <c r="BK134" s="6"/>
      <c r="BL134" s="8">
        <v>44.45</v>
      </c>
      <c r="BM134" s="6"/>
      <c r="BN134" s="6"/>
      <c r="BO134" s="6"/>
      <c r="BP134" s="6"/>
      <c r="BQ134" s="6"/>
      <c r="BR134" s="6"/>
      <c r="BS134" s="6"/>
      <c r="BT134" s="6"/>
      <c r="BU134" s="6"/>
      <c r="BV134" s="6"/>
      <c r="BW134" s="6"/>
      <c r="BX134" s="6"/>
      <c r="BY134" s="6"/>
      <c r="BZ134" s="6"/>
      <c r="CA134" s="6"/>
      <c r="CB134" s="6"/>
      <c r="CC134" s="6"/>
      <c r="CD134" s="6"/>
      <c r="CE134" s="6"/>
      <c r="CF134" s="6"/>
      <c r="CG134" s="9">
        <v>44.45</v>
      </c>
    </row>
    <row r="135" spans="1:85" x14ac:dyDescent="0.3">
      <c r="A135" s="3" t="str">
        <f t="shared" si="3"/>
        <v>ADDResearch InfrastructureNational Solar Observatory (NSO)Total</v>
      </c>
      <c r="B135" s="6" t="s">
        <v>81</v>
      </c>
      <c r="C135" s="6" t="s">
        <v>179</v>
      </c>
      <c r="D135" s="6" t="s">
        <v>210</v>
      </c>
      <c r="E135" s="6" t="s">
        <v>24</v>
      </c>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8">
        <v>5.88</v>
      </c>
      <c r="AJ135" s="6"/>
      <c r="AK135" s="6"/>
      <c r="AL135" s="6"/>
      <c r="AM135" s="8">
        <v>1.18</v>
      </c>
      <c r="AN135" s="6"/>
      <c r="AO135" s="6"/>
      <c r="AP135" s="8">
        <v>7.06</v>
      </c>
      <c r="AQ135" s="6"/>
      <c r="AR135" s="6"/>
      <c r="AS135" s="6"/>
      <c r="AT135" s="6"/>
      <c r="AU135" s="6"/>
      <c r="AV135" s="6"/>
      <c r="AW135" s="6"/>
      <c r="AX135" s="6"/>
      <c r="AY135" s="6"/>
      <c r="AZ135" s="6"/>
      <c r="BA135" s="6"/>
      <c r="BB135" s="6"/>
      <c r="BC135" s="6"/>
      <c r="BD135" s="6"/>
      <c r="BE135" s="6"/>
      <c r="BF135" s="6"/>
      <c r="BG135" s="6"/>
      <c r="BH135" s="6"/>
      <c r="BI135" s="6"/>
      <c r="BJ135" s="6"/>
      <c r="BK135" s="6"/>
      <c r="BL135" s="8">
        <v>7.06</v>
      </c>
      <c r="BM135" s="6"/>
      <c r="BN135" s="6"/>
      <c r="BO135" s="6"/>
      <c r="BP135" s="6"/>
      <c r="BQ135" s="6"/>
      <c r="BR135" s="6"/>
      <c r="BS135" s="6"/>
      <c r="BT135" s="6"/>
      <c r="BU135" s="6"/>
      <c r="BV135" s="6"/>
      <c r="BW135" s="6"/>
      <c r="BX135" s="6"/>
      <c r="BY135" s="6"/>
      <c r="BZ135" s="6"/>
      <c r="CA135" s="6"/>
      <c r="CB135" s="6"/>
      <c r="CC135" s="6"/>
      <c r="CD135" s="6"/>
      <c r="CE135" s="6"/>
      <c r="CF135" s="6"/>
      <c r="CG135" s="9">
        <v>7.06</v>
      </c>
    </row>
    <row r="136" spans="1:85" x14ac:dyDescent="0.3">
      <c r="A136" s="3" t="str">
        <f t="shared" si="3"/>
        <v>ADDResearch InfrastructureNatural Hazards Engineering Research Infrastructure (NHERI)Total</v>
      </c>
      <c r="B136" s="6" t="s">
        <v>81</v>
      </c>
      <c r="C136" s="6" t="s">
        <v>179</v>
      </c>
      <c r="D136" s="6" t="s">
        <v>212</v>
      </c>
      <c r="E136" s="6" t="s">
        <v>24</v>
      </c>
      <c r="F136" s="6"/>
      <c r="G136" s="6"/>
      <c r="H136" s="6"/>
      <c r="I136" s="6"/>
      <c r="J136" s="6"/>
      <c r="K136" s="6"/>
      <c r="L136" s="6"/>
      <c r="M136" s="6"/>
      <c r="N136" s="6"/>
      <c r="O136" s="6"/>
      <c r="P136" s="6"/>
      <c r="Q136" s="6"/>
      <c r="R136" s="6"/>
      <c r="S136" s="6"/>
      <c r="T136" s="6"/>
      <c r="U136" s="8">
        <v>14.6</v>
      </c>
      <c r="V136" s="6"/>
      <c r="W136" s="6"/>
      <c r="X136" s="6"/>
      <c r="Y136" s="6"/>
      <c r="Z136" s="6"/>
      <c r="AA136" s="8">
        <v>14.6</v>
      </c>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8">
        <v>14.6</v>
      </c>
      <c r="BM136" s="6"/>
      <c r="BN136" s="6"/>
      <c r="BO136" s="6"/>
      <c r="BP136" s="6"/>
      <c r="BQ136" s="6"/>
      <c r="BR136" s="6"/>
      <c r="BS136" s="6"/>
      <c r="BT136" s="6"/>
      <c r="BU136" s="6"/>
      <c r="BV136" s="6"/>
      <c r="BW136" s="6"/>
      <c r="BX136" s="6"/>
      <c r="BY136" s="6"/>
      <c r="BZ136" s="6"/>
      <c r="CA136" s="6"/>
      <c r="CB136" s="6"/>
      <c r="CC136" s="6"/>
      <c r="CD136" s="6"/>
      <c r="CE136" s="6"/>
      <c r="CF136" s="6"/>
      <c r="CG136" s="9">
        <v>14.6</v>
      </c>
    </row>
    <row r="137" spans="1:85" x14ac:dyDescent="0.3">
      <c r="A137" s="3" t="str">
        <f t="shared" ref="A137:A200" si="4">CONCATENATE(B137,C137,D137,E137)</f>
        <v>ADDResearch InfrastructureNetworking and Computational Resources Infrastructure and ServicesTotal</v>
      </c>
      <c r="B137" s="6" t="s">
        <v>81</v>
      </c>
      <c r="C137" s="6" t="s">
        <v>179</v>
      </c>
      <c r="D137" s="6" t="s">
        <v>213</v>
      </c>
      <c r="E137" s="6" t="s">
        <v>24</v>
      </c>
      <c r="F137" s="6"/>
      <c r="G137" s="6"/>
      <c r="H137" s="6"/>
      <c r="I137" s="6"/>
      <c r="J137" s="6"/>
      <c r="K137" s="6"/>
      <c r="L137" s="6"/>
      <c r="M137" s="6"/>
      <c r="N137" s="6"/>
      <c r="O137" s="6"/>
      <c r="P137" s="6"/>
      <c r="Q137" s="8">
        <v>144.25</v>
      </c>
      <c r="R137" s="6"/>
      <c r="S137" s="8">
        <v>144.25</v>
      </c>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8">
        <v>144.25</v>
      </c>
      <c r="BM137" s="6"/>
      <c r="BN137" s="6"/>
      <c r="BO137" s="6"/>
      <c r="BP137" s="6"/>
      <c r="BQ137" s="6"/>
      <c r="BR137" s="6"/>
      <c r="BS137" s="6"/>
      <c r="BT137" s="6"/>
      <c r="BU137" s="6"/>
      <c r="BV137" s="6"/>
      <c r="BW137" s="6"/>
      <c r="BX137" s="6"/>
      <c r="BY137" s="6"/>
      <c r="BZ137" s="6"/>
      <c r="CA137" s="6"/>
      <c r="CB137" s="6"/>
      <c r="CC137" s="6"/>
      <c r="CD137" s="6"/>
      <c r="CE137" s="6"/>
      <c r="CF137" s="6"/>
      <c r="CG137" s="9">
        <v>144.25</v>
      </c>
    </row>
    <row r="138" spans="1:85" x14ac:dyDescent="0.3">
      <c r="A138" s="3" t="str">
        <f t="shared" si="4"/>
        <v>ADDResearch InfrastructureNSF National Optical-infrared Astronomy Research LaboratoryTotal</v>
      </c>
      <c r="B138" s="6" t="s">
        <v>81</v>
      </c>
      <c r="C138" s="6" t="s">
        <v>179</v>
      </c>
      <c r="D138" s="6" t="s">
        <v>214</v>
      </c>
      <c r="E138" s="6" t="s">
        <v>24</v>
      </c>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8">
        <v>25.99</v>
      </c>
      <c r="AJ138" s="6"/>
      <c r="AK138" s="6"/>
      <c r="AL138" s="6"/>
      <c r="AM138" s="6"/>
      <c r="AN138" s="6"/>
      <c r="AO138" s="6"/>
      <c r="AP138" s="8">
        <v>25.99</v>
      </c>
      <c r="AQ138" s="6"/>
      <c r="AR138" s="6"/>
      <c r="AS138" s="6"/>
      <c r="AT138" s="6"/>
      <c r="AU138" s="6"/>
      <c r="AV138" s="6"/>
      <c r="AW138" s="6"/>
      <c r="AX138" s="6"/>
      <c r="AY138" s="6"/>
      <c r="AZ138" s="6"/>
      <c r="BA138" s="6"/>
      <c r="BB138" s="6"/>
      <c r="BC138" s="6"/>
      <c r="BD138" s="6"/>
      <c r="BE138" s="6"/>
      <c r="BF138" s="6"/>
      <c r="BG138" s="6"/>
      <c r="BH138" s="6"/>
      <c r="BI138" s="6"/>
      <c r="BJ138" s="6"/>
      <c r="BK138" s="6"/>
      <c r="BL138" s="8">
        <v>25.99</v>
      </c>
      <c r="BM138" s="6"/>
      <c r="BN138" s="6"/>
      <c r="BO138" s="6"/>
      <c r="BP138" s="6"/>
      <c r="BQ138" s="6"/>
      <c r="BR138" s="6"/>
      <c r="BS138" s="6"/>
      <c r="BT138" s="6"/>
      <c r="BU138" s="6"/>
      <c r="BV138" s="6"/>
      <c r="BW138" s="6"/>
      <c r="BX138" s="6"/>
      <c r="BY138" s="6"/>
      <c r="BZ138" s="6"/>
      <c r="CA138" s="6"/>
      <c r="CB138" s="6"/>
      <c r="CC138" s="6"/>
      <c r="CD138" s="6"/>
      <c r="CE138" s="6"/>
      <c r="CF138" s="6"/>
      <c r="CG138" s="9">
        <v>25.99</v>
      </c>
    </row>
    <row r="139" spans="1:85" x14ac:dyDescent="0.3">
      <c r="A139" s="3" t="str">
        <f t="shared" si="4"/>
        <v>ADDResearch InfrastructureOcean Observatories Initiative (OOI)Total</v>
      </c>
      <c r="B139" s="6" t="s">
        <v>81</v>
      </c>
      <c r="C139" s="6" t="s">
        <v>179</v>
      </c>
      <c r="D139" s="6" t="s">
        <v>215</v>
      </c>
      <c r="E139" s="6" t="s">
        <v>24</v>
      </c>
      <c r="F139" s="6"/>
      <c r="G139" s="6"/>
      <c r="H139" s="6"/>
      <c r="I139" s="6"/>
      <c r="J139" s="6"/>
      <c r="K139" s="6"/>
      <c r="L139" s="6"/>
      <c r="M139" s="6"/>
      <c r="N139" s="6"/>
      <c r="O139" s="6"/>
      <c r="P139" s="6"/>
      <c r="Q139" s="6"/>
      <c r="R139" s="6"/>
      <c r="S139" s="6"/>
      <c r="T139" s="6"/>
      <c r="U139" s="6"/>
      <c r="V139" s="6"/>
      <c r="W139" s="6"/>
      <c r="X139" s="6"/>
      <c r="Y139" s="6"/>
      <c r="Z139" s="6"/>
      <c r="AA139" s="6"/>
      <c r="AB139" s="6"/>
      <c r="AC139" s="6"/>
      <c r="AD139" s="8">
        <v>51</v>
      </c>
      <c r="AE139" s="6"/>
      <c r="AF139" s="8">
        <v>0</v>
      </c>
      <c r="AG139" s="6"/>
      <c r="AH139" s="8">
        <v>51</v>
      </c>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8">
        <v>51</v>
      </c>
      <c r="BM139" s="6"/>
      <c r="BN139" s="6"/>
      <c r="BO139" s="6"/>
      <c r="BP139" s="6"/>
      <c r="BQ139" s="6"/>
      <c r="BR139" s="6"/>
      <c r="BS139" s="6"/>
      <c r="BT139" s="8">
        <v>0</v>
      </c>
      <c r="BU139" s="8">
        <v>0</v>
      </c>
      <c r="BV139" s="8">
        <v>0</v>
      </c>
      <c r="BW139" s="6"/>
      <c r="BX139" s="6"/>
      <c r="BY139" s="6"/>
      <c r="BZ139" s="6"/>
      <c r="CA139" s="6"/>
      <c r="CB139" s="6"/>
      <c r="CC139" s="6"/>
      <c r="CD139" s="6"/>
      <c r="CE139" s="6"/>
      <c r="CF139" s="6"/>
      <c r="CG139" s="9">
        <v>51</v>
      </c>
    </row>
    <row r="140" spans="1:85" x14ac:dyDescent="0.3">
      <c r="A140" s="3" t="str">
        <f t="shared" si="4"/>
        <v>ADDResearch InfrastructureOther MPS FacilitiesTotal</v>
      </c>
      <c r="B140" s="6" t="s">
        <v>81</v>
      </c>
      <c r="C140" s="6" t="s">
        <v>179</v>
      </c>
      <c r="D140" s="6" t="s">
        <v>216</v>
      </c>
      <c r="E140" s="6" t="s">
        <v>24</v>
      </c>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8">
        <v>0</v>
      </c>
      <c r="AJ140" s="6"/>
      <c r="AK140" s="8">
        <v>3</v>
      </c>
      <c r="AL140" s="6"/>
      <c r="AM140" s="8">
        <v>0</v>
      </c>
      <c r="AN140" s="6"/>
      <c r="AO140" s="6"/>
      <c r="AP140" s="8">
        <v>3</v>
      </c>
      <c r="AQ140" s="6"/>
      <c r="AR140" s="6"/>
      <c r="AS140" s="6"/>
      <c r="AT140" s="6"/>
      <c r="AU140" s="6"/>
      <c r="AV140" s="6"/>
      <c r="AW140" s="6"/>
      <c r="AX140" s="6"/>
      <c r="AY140" s="6"/>
      <c r="AZ140" s="6"/>
      <c r="BA140" s="6"/>
      <c r="BB140" s="6"/>
      <c r="BC140" s="6"/>
      <c r="BD140" s="6"/>
      <c r="BE140" s="6"/>
      <c r="BF140" s="6"/>
      <c r="BG140" s="6"/>
      <c r="BH140" s="6"/>
      <c r="BI140" s="6"/>
      <c r="BJ140" s="6"/>
      <c r="BK140" s="6"/>
      <c r="BL140" s="8">
        <v>3</v>
      </c>
      <c r="BM140" s="6"/>
      <c r="BN140" s="6"/>
      <c r="BO140" s="6"/>
      <c r="BP140" s="6"/>
      <c r="BQ140" s="6"/>
      <c r="BR140" s="6"/>
      <c r="BS140" s="6"/>
      <c r="BT140" s="6"/>
      <c r="BU140" s="6"/>
      <c r="BV140" s="6"/>
      <c r="BW140" s="6"/>
      <c r="BX140" s="6"/>
      <c r="BY140" s="6"/>
      <c r="BZ140" s="6"/>
      <c r="CA140" s="6"/>
      <c r="CB140" s="6"/>
      <c r="CC140" s="6"/>
      <c r="CD140" s="6"/>
      <c r="CE140" s="6"/>
      <c r="CF140" s="6"/>
      <c r="CG140" s="9">
        <v>3</v>
      </c>
    </row>
    <row r="141" spans="1:85" x14ac:dyDescent="0.3">
      <c r="A141" s="3" t="str">
        <f t="shared" si="4"/>
        <v>ADDResearch InfrastructurePolar Environment, Health, and Safety (PEHS)Total</v>
      </c>
      <c r="B141" s="6" t="s">
        <v>81</v>
      </c>
      <c r="C141" s="6" t="s">
        <v>179</v>
      </c>
      <c r="D141" s="6" t="s">
        <v>217</v>
      </c>
      <c r="E141" s="6" t="s">
        <v>24</v>
      </c>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8">
        <v>9</v>
      </c>
      <c r="AF141" s="6"/>
      <c r="AG141" s="6"/>
      <c r="AH141" s="8">
        <v>9</v>
      </c>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8">
        <v>9</v>
      </c>
      <c r="BM141" s="6"/>
      <c r="BN141" s="6"/>
      <c r="BO141" s="6"/>
      <c r="BP141" s="6"/>
      <c r="BQ141" s="6"/>
      <c r="BR141" s="6"/>
      <c r="BS141" s="6"/>
      <c r="BT141" s="6"/>
      <c r="BU141" s="6"/>
      <c r="BV141" s="6"/>
      <c r="BW141" s="6"/>
      <c r="BX141" s="6"/>
      <c r="BY141" s="6"/>
      <c r="BZ141" s="6"/>
      <c r="CA141" s="6"/>
      <c r="CB141" s="6"/>
      <c r="CC141" s="6"/>
      <c r="CD141" s="6"/>
      <c r="CE141" s="6"/>
      <c r="CF141" s="6"/>
      <c r="CG141" s="9">
        <v>9</v>
      </c>
    </row>
    <row r="142" spans="1:85" x14ac:dyDescent="0.3">
      <c r="A142" s="3" t="str">
        <f t="shared" si="4"/>
        <v>ADDResearch InfrastructureResearch Infrastructure Stewardship OffsetTotal</v>
      </c>
      <c r="B142" s="6" t="s">
        <v>81</v>
      </c>
      <c r="C142" s="6" t="s">
        <v>179</v>
      </c>
      <c r="D142" s="6" t="s">
        <v>218</v>
      </c>
      <c r="E142" s="6" t="s">
        <v>24</v>
      </c>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8">
        <v>-1.94</v>
      </c>
      <c r="BG142" s="8">
        <v>-1.94</v>
      </c>
      <c r="BH142" s="6"/>
      <c r="BI142" s="6"/>
      <c r="BJ142" s="6"/>
      <c r="BK142" s="6"/>
      <c r="BL142" s="8">
        <v>-1.94</v>
      </c>
      <c r="BM142" s="6"/>
      <c r="BN142" s="6"/>
      <c r="BO142" s="6"/>
      <c r="BP142" s="6"/>
      <c r="BQ142" s="6"/>
      <c r="BR142" s="6"/>
      <c r="BS142" s="6"/>
      <c r="BT142" s="6"/>
      <c r="BU142" s="6"/>
      <c r="BV142" s="6"/>
      <c r="BW142" s="6"/>
      <c r="BX142" s="6"/>
      <c r="BY142" s="6"/>
      <c r="BZ142" s="6"/>
      <c r="CA142" s="6"/>
      <c r="CB142" s="6"/>
      <c r="CC142" s="6"/>
      <c r="CD142" s="6"/>
      <c r="CE142" s="6"/>
      <c r="CF142" s="6"/>
      <c r="CG142" s="9">
        <v>-1.94</v>
      </c>
    </row>
    <row r="143" spans="1:85" x14ac:dyDescent="0.3">
      <c r="A143" s="3" t="str">
        <f t="shared" si="4"/>
        <v>ADDResearch InfrastructureResearch ResourcesTotal</v>
      </c>
      <c r="B143" s="6" t="s">
        <v>81</v>
      </c>
      <c r="C143" s="6" t="s">
        <v>179</v>
      </c>
      <c r="D143" s="6" t="s">
        <v>219</v>
      </c>
      <c r="E143" s="6" t="s">
        <v>24</v>
      </c>
      <c r="F143" s="8">
        <v>42.76</v>
      </c>
      <c r="G143" s="6"/>
      <c r="H143" s="6"/>
      <c r="I143" s="8">
        <v>11</v>
      </c>
      <c r="J143" s="6"/>
      <c r="K143" s="6"/>
      <c r="L143" s="8">
        <v>53.76</v>
      </c>
      <c r="M143" s="8">
        <v>1</v>
      </c>
      <c r="N143" s="8">
        <v>23</v>
      </c>
      <c r="O143" s="8">
        <v>2</v>
      </c>
      <c r="P143" s="8">
        <v>11.24</v>
      </c>
      <c r="Q143" s="6"/>
      <c r="R143" s="6"/>
      <c r="S143" s="8">
        <v>37.24</v>
      </c>
      <c r="T143" s="6"/>
      <c r="U143" s="6"/>
      <c r="V143" s="6"/>
      <c r="W143" s="6"/>
      <c r="X143" s="6"/>
      <c r="Y143" s="6"/>
      <c r="Z143" s="6"/>
      <c r="AA143" s="6"/>
      <c r="AB143" s="8">
        <v>33.24</v>
      </c>
      <c r="AC143" s="8">
        <v>26.52</v>
      </c>
      <c r="AD143" s="8">
        <v>10.3</v>
      </c>
      <c r="AE143" s="8">
        <v>5.29</v>
      </c>
      <c r="AF143" s="6"/>
      <c r="AG143" s="6"/>
      <c r="AH143" s="8">
        <v>75.349999999999994</v>
      </c>
      <c r="AI143" s="8">
        <v>7</v>
      </c>
      <c r="AJ143" s="8">
        <v>5.65</v>
      </c>
      <c r="AK143" s="8">
        <v>1.45</v>
      </c>
      <c r="AL143" s="6"/>
      <c r="AM143" s="8">
        <v>0</v>
      </c>
      <c r="AN143" s="8">
        <v>1</v>
      </c>
      <c r="AO143" s="6"/>
      <c r="AP143" s="8">
        <v>15.1</v>
      </c>
      <c r="AQ143" s="8">
        <v>4.5</v>
      </c>
      <c r="AR143" s="6"/>
      <c r="AS143" s="8">
        <v>0</v>
      </c>
      <c r="AT143" s="8">
        <v>5.09</v>
      </c>
      <c r="AU143" s="6"/>
      <c r="AV143" s="8">
        <v>9.59</v>
      </c>
      <c r="AW143" s="6"/>
      <c r="AX143" s="6"/>
      <c r="AY143" s="6"/>
      <c r="AZ143" s="6"/>
      <c r="BA143" s="6"/>
      <c r="BB143" s="6"/>
      <c r="BC143" s="6"/>
      <c r="BD143" s="6"/>
      <c r="BE143" s="6"/>
      <c r="BF143" s="6"/>
      <c r="BG143" s="6"/>
      <c r="BH143" s="6"/>
      <c r="BI143" s="6"/>
      <c r="BJ143" s="6"/>
      <c r="BK143" s="6"/>
      <c r="BL143" s="8">
        <v>191.04</v>
      </c>
      <c r="BM143" s="6"/>
      <c r="BN143" s="6"/>
      <c r="BO143" s="6"/>
      <c r="BP143" s="6"/>
      <c r="BQ143" s="6"/>
      <c r="BR143" s="6"/>
      <c r="BS143" s="6"/>
      <c r="BT143" s="6"/>
      <c r="BU143" s="6"/>
      <c r="BV143" s="6"/>
      <c r="BW143" s="6"/>
      <c r="BX143" s="6"/>
      <c r="BY143" s="6"/>
      <c r="BZ143" s="6"/>
      <c r="CA143" s="6"/>
      <c r="CB143" s="6"/>
      <c r="CC143" s="6"/>
      <c r="CD143" s="6"/>
      <c r="CE143" s="6"/>
      <c r="CF143" s="6"/>
      <c r="CG143" s="9">
        <v>191.04</v>
      </c>
    </row>
    <row r="144" spans="1:85" x14ac:dyDescent="0.3">
      <c r="A144" s="3" t="str">
        <f t="shared" si="4"/>
        <v>ADDResearch InfrastructureScience &amp; Technology Policy Institute (STPI)Total</v>
      </c>
      <c r="B144" s="6" t="s">
        <v>81</v>
      </c>
      <c r="C144" s="6" t="s">
        <v>179</v>
      </c>
      <c r="D144" s="6" t="s">
        <v>220</v>
      </c>
      <c r="E144" s="6" t="s">
        <v>24</v>
      </c>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8">
        <v>5.68</v>
      </c>
      <c r="BG144" s="8">
        <v>5.68</v>
      </c>
      <c r="BH144" s="6"/>
      <c r="BI144" s="6"/>
      <c r="BJ144" s="6"/>
      <c r="BK144" s="6"/>
      <c r="BL144" s="8">
        <v>5.68</v>
      </c>
      <c r="BM144" s="6"/>
      <c r="BN144" s="6"/>
      <c r="BO144" s="6"/>
      <c r="BP144" s="6"/>
      <c r="BQ144" s="6"/>
      <c r="BR144" s="6"/>
      <c r="BS144" s="6"/>
      <c r="BT144" s="6"/>
      <c r="BU144" s="6"/>
      <c r="BV144" s="6"/>
      <c r="BW144" s="6"/>
      <c r="BX144" s="6"/>
      <c r="BY144" s="6"/>
      <c r="BZ144" s="6"/>
      <c r="CA144" s="6"/>
      <c r="CB144" s="6"/>
      <c r="CC144" s="6"/>
      <c r="CD144" s="6"/>
      <c r="CE144" s="6"/>
      <c r="CF144" s="6"/>
      <c r="CG144" s="9">
        <v>5.68</v>
      </c>
    </row>
    <row r="145" spans="1:85" x14ac:dyDescent="0.3">
      <c r="A145" s="3" t="str">
        <f t="shared" si="4"/>
        <v>ADDResearch InfrastructureSeismological Facility for the Advancement of GEoscience (SAGE)Total</v>
      </c>
      <c r="B145" s="6" t="s">
        <v>81</v>
      </c>
      <c r="C145" s="6" t="s">
        <v>179</v>
      </c>
      <c r="D145" s="6" t="s">
        <v>221</v>
      </c>
      <c r="E145" s="6" t="s">
        <v>24</v>
      </c>
      <c r="F145" s="6"/>
      <c r="G145" s="6"/>
      <c r="H145" s="6"/>
      <c r="I145" s="6"/>
      <c r="J145" s="6"/>
      <c r="K145" s="6"/>
      <c r="L145" s="6"/>
      <c r="M145" s="6"/>
      <c r="N145" s="6"/>
      <c r="O145" s="6"/>
      <c r="P145" s="6"/>
      <c r="Q145" s="6"/>
      <c r="R145" s="6"/>
      <c r="S145" s="6"/>
      <c r="T145" s="6"/>
      <c r="U145" s="6"/>
      <c r="V145" s="6"/>
      <c r="W145" s="6"/>
      <c r="X145" s="6"/>
      <c r="Y145" s="6"/>
      <c r="Z145" s="6"/>
      <c r="AA145" s="6"/>
      <c r="AB145" s="6"/>
      <c r="AC145" s="8">
        <v>22.5</v>
      </c>
      <c r="AD145" s="6"/>
      <c r="AE145" s="8">
        <v>0.87</v>
      </c>
      <c r="AF145" s="6"/>
      <c r="AG145" s="6"/>
      <c r="AH145" s="8">
        <v>23.37</v>
      </c>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8">
        <v>23.37</v>
      </c>
      <c r="BM145" s="6"/>
      <c r="BN145" s="6"/>
      <c r="BO145" s="6"/>
      <c r="BP145" s="6"/>
      <c r="BQ145" s="6"/>
      <c r="BR145" s="6"/>
      <c r="BS145" s="6"/>
      <c r="BT145" s="6"/>
      <c r="BU145" s="6"/>
      <c r="BV145" s="6"/>
      <c r="BW145" s="6"/>
      <c r="BX145" s="6"/>
      <c r="BY145" s="6"/>
      <c r="BZ145" s="6"/>
      <c r="CA145" s="6"/>
      <c r="CB145" s="6"/>
      <c r="CC145" s="6"/>
      <c r="CD145" s="6"/>
      <c r="CE145" s="6"/>
      <c r="CF145" s="6"/>
      <c r="CG145" s="9">
        <v>23.37</v>
      </c>
    </row>
    <row r="146" spans="1:85" x14ac:dyDescent="0.3">
      <c r="A146" s="3" t="str">
        <f t="shared" si="4"/>
        <v>ADDResearch InfrastructureVera C. Rubin ObservatoryTotal</v>
      </c>
      <c r="B146" s="6" t="s">
        <v>81</v>
      </c>
      <c r="C146" s="6" t="s">
        <v>179</v>
      </c>
      <c r="D146" s="6" t="s">
        <v>222</v>
      </c>
      <c r="E146" s="6" t="s">
        <v>24</v>
      </c>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8">
        <v>10</v>
      </c>
      <c r="AJ146" s="6"/>
      <c r="AK146" s="6"/>
      <c r="AL146" s="6"/>
      <c r="AM146" s="8">
        <v>10.3</v>
      </c>
      <c r="AN146" s="6"/>
      <c r="AO146" s="6"/>
      <c r="AP146" s="8">
        <v>20.3</v>
      </c>
      <c r="AQ146" s="6"/>
      <c r="AR146" s="6"/>
      <c r="AS146" s="6"/>
      <c r="AT146" s="6"/>
      <c r="AU146" s="6"/>
      <c r="AV146" s="6"/>
      <c r="AW146" s="6"/>
      <c r="AX146" s="6"/>
      <c r="AY146" s="6"/>
      <c r="AZ146" s="6"/>
      <c r="BA146" s="6"/>
      <c r="BB146" s="6"/>
      <c r="BC146" s="6"/>
      <c r="BD146" s="6"/>
      <c r="BE146" s="6"/>
      <c r="BF146" s="6"/>
      <c r="BG146" s="6"/>
      <c r="BH146" s="6"/>
      <c r="BI146" s="6"/>
      <c r="BJ146" s="6"/>
      <c r="BK146" s="6"/>
      <c r="BL146" s="8">
        <v>20.3</v>
      </c>
      <c r="BM146" s="6"/>
      <c r="BN146" s="6"/>
      <c r="BO146" s="6"/>
      <c r="BP146" s="6"/>
      <c r="BQ146" s="6"/>
      <c r="BR146" s="6"/>
      <c r="BS146" s="6"/>
      <c r="BT146" s="8">
        <v>15</v>
      </c>
      <c r="BU146" s="8">
        <v>15</v>
      </c>
      <c r="BV146" s="8">
        <v>15</v>
      </c>
      <c r="BW146" s="6"/>
      <c r="BX146" s="6"/>
      <c r="BY146" s="6"/>
      <c r="BZ146" s="6"/>
      <c r="CA146" s="6"/>
      <c r="CB146" s="6"/>
      <c r="CC146" s="6"/>
      <c r="CD146" s="6"/>
      <c r="CE146" s="6"/>
      <c r="CF146" s="6"/>
      <c r="CG146" s="9">
        <v>35.299999999999997</v>
      </c>
    </row>
    <row r="147" spans="1:85" x14ac:dyDescent="0.3">
      <c r="A147" s="3" t="str">
        <f t="shared" si="4"/>
        <v>NON ADDTotalTotalTotal</v>
      </c>
      <c r="B147" s="6" t="s">
        <v>223</v>
      </c>
      <c r="C147" s="6" t="s">
        <v>24</v>
      </c>
      <c r="D147" s="6" t="s">
        <v>24</v>
      </c>
      <c r="E147" s="6" t="s">
        <v>24</v>
      </c>
      <c r="F147" s="8">
        <v>0</v>
      </c>
      <c r="G147" s="8">
        <v>0</v>
      </c>
      <c r="H147" s="6"/>
      <c r="I147" s="8">
        <v>0</v>
      </c>
      <c r="J147" s="8">
        <v>0</v>
      </c>
      <c r="K147" s="8">
        <v>887.99</v>
      </c>
      <c r="L147" s="8">
        <v>887.99</v>
      </c>
      <c r="M147" s="6"/>
      <c r="N147" s="6"/>
      <c r="O147" s="6"/>
      <c r="P147" s="6"/>
      <c r="Q147" s="8">
        <v>0</v>
      </c>
      <c r="R147" s="8">
        <v>2377.3000000000002</v>
      </c>
      <c r="S147" s="8">
        <v>2377.3000000000002</v>
      </c>
      <c r="T147" s="8">
        <v>45.7</v>
      </c>
      <c r="U147" s="8">
        <v>33.700000000000003</v>
      </c>
      <c r="V147" s="8">
        <v>18.649999999999999</v>
      </c>
      <c r="W147" s="6"/>
      <c r="X147" s="8">
        <v>0</v>
      </c>
      <c r="Y147" s="6"/>
      <c r="Z147" s="8">
        <v>1513.67</v>
      </c>
      <c r="AA147" s="8">
        <v>1611.72</v>
      </c>
      <c r="AB147" s="8">
        <v>10.85</v>
      </c>
      <c r="AC147" s="8">
        <v>26.11</v>
      </c>
      <c r="AD147" s="8">
        <v>10.199999999999999</v>
      </c>
      <c r="AE147" s="8">
        <v>223.98</v>
      </c>
      <c r="AF147" s="8">
        <v>33.67</v>
      </c>
      <c r="AG147" s="8">
        <v>758.6</v>
      </c>
      <c r="AH147" s="8">
        <v>1063.4100000000001</v>
      </c>
      <c r="AI147" s="8">
        <v>21.7</v>
      </c>
      <c r="AJ147" s="8">
        <v>386.01</v>
      </c>
      <c r="AK147" s="8">
        <v>356.27</v>
      </c>
      <c r="AL147" s="8">
        <v>82.73</v>
      </c>
      <c r="AM147" s="8">
        <v>176.18</v>
      </c>
      <c r="AN147" s="8">
        <v>129.02000000000001</v>
      </c>
      <c r="AO147" s="8">
        <v>206.13</v>
      </c>
      <c r="AP147" s="8">
        <v>1358.04</v>
      </c>
      <c r="AQ147" s="8">
        <v>0</v>
      </c>
      <c r="AR147" s="8">
        <v>0</v>
      </c>
      <c r="AS147" s="8">
        <v>0</v>
      </c>
      <c r="AT147" s="8">
        <v>0</v>
      </c>
      <c r="AU147" s="8">
        <v>141.12</v>
      </c>
      <c r="AV147" s="8">
        <v>141.12</v>
      </c>
      <c r="AW147" s="6"/>
      <c r="AX147" s="6"/>
      <c r="AY147" s="6"/>
      <c r="AZ147" s="6"/>
      <c r="BA147" s="8">
        <v>881.1</v>
      </c>
      <c r="BB147" s="8">
        <v>881.1</v>
      </c>
      <c r="BC147" s="8">
        <v>12.4</v>
      </c>
      <c r="BD147" s="8">
        <v>12.4</v>
      </c>
      <c r="BE147" s="8">
        <v>17.75</v>
      </c>
      <c r="BF147" s="8">
        <v>5.86</v>
      </c>
      <c r="BG147" s="8">
        <v>23.61</v>
      </c>
      <c r="BH147" s="6"/>
      <c r="BI147" s="6"/>
      <c r="BJ147" s="6"/>
      <c r="BK147" s="6"/>
      <c r="BL147" s="8">
        <v>8356.69</v>
      </c>
      <c r="BM147" s="8">
        <v>150</v>
      </c>
      <c r="BN147" s="8">
        <v>76.3</v>
      </c>
      <c r="BO147" s="8">
        <v>126.65</v>
      </c>
      <c r="BP147" s="8">
        <v>0</v>
      </c>
      <c r="BQ147" s="8">
        <v>97.8</v>
      </c>
      <c r="BR147" s="8">
        <v>450.75</v>
      </c>
      <c r="BS147" s="8">
        <v>450.75</v>
      </c>
      <c r="BT147" s="6"/>
      <c r="BU147" s="6"/>
      <c r="BV147" s="6"/>
      <c r="BW147" s="6"/>
      <c r="BX147" s="8">
        <v>4.26</v>
      </c>
      <c r="BY147" s="8">
        <v>4.26</v>
      </c>
      <c r="BZ147" s="8">
        <v>4.26</v>
      </c>
      <c r="CA147" s="6"/>
      <c r="CB147" s="6"/>
      <c r="CC147" s="6"/>
      <c r="CD147" s="6"/>
      <c r="CE147" s="6"/>
      <c r="CF147" s="6"/>
      <c r="CG147" s="9">
        <v>8811.7000000000007</v>
      </c>
    </row>
    <row r="148" spans="1:85" x14ac:dyDescent="0.3">
      <c r="A148" s="3" t="str">
        <f t="shared" si="4"/>
        <v>NON ADDCross-Foundation ActivitiesTotalTotal</v>
      </c>
      <c r="B148" s="6" t="s">
        <v>223</v>
      </c>
      <c r="C148" s="6" t="s">
        <v>224</v>
      </c>
      <c r="D148" s="6" t="s">
        <v>24</v>
      </c>
      <c r="E148" s="6" t="s">
        <v>24</v>
      </c>
      <c r="F148" s="6"/>
      <c r="G148" s="6"/>
      <c r="H148" s="6"/>
      <c r="I148" s="6"/>
      <c r="J148" s="6"/>
      <c r="K148" s="8">
        <v>286.85000000000002</v>
      </c>
      <c r="L148" s="8">
        <v>286.85000000000002</v>
      </c>
      <c r="M148" s="6"/>
      <c r="N148" s="6"/>
      <c r="O148" s="6"/>
      <c r="P148" s="6"/>
      <c r="Q148" s="6"/>
      <c r="R148" s="8">
        <v>820.77</v>
      </c>
      <c r="S148" s="8">
        <v>820.77</v>
      </c>
      <c r="T148" s="6"/>
      <c r="U148" s="6"/>
      <c r="V148" s="6"/>
      <c r="W148" s="6"/>
      <c r="X148" s="8">
        <v>0</v>
      </c>
      <c r="Y148" s="6"/>
      <c r="Z148" s="8">
        <v>746.24</v>
      </c>
      <c r="AA148" s="8">
        <v>746.24</v>
      </c>
      <c r="AB148" s="6"/>
      <c r="AC148" s="6"/>
      <c r="AD148" s="8">
        <v>4</v>
      </c>
      <c r="AE148" s="8">
        <v>8.85</v>
      </c>
      <c r="AF148" s="8">
        <v>0</v>
      </c>
      <c r="AG148" s="8">
        <v>73.599999999999994</v>
      </c>
      <c r="AH148" s="8">
        <v>86.45</v>
      </c>
      <c r="AI148" s="8">
        <v>8</v>
      </c>
      <c r="AJ148" s="8">
        <v>213.73</v>
      </c>
      <c r="AK148" s="8">
        <v>186.71</v>
      </c>
      <c r="AL148" s="8">
        <v>31.75</v>
      </c>
      <c r="AM148" s="8">
        <v>104.99</v>
      </c>
      <c r="AN148" s="8">
        <v>59.93</v>
      </c>
      <c r="AO148" s="8">
        <v>0</v>
      </c>
      <c r="AP148" s="8">
        <v>605.11</v>
      </c>
      <c r="AQ148" s="8">
        <v>0</v>
      </c>
      <c r="AR148" s="6"/>
      <c r="AS148" s="8">
        <v>0</v>
      </c>
      <c r="AT148" s="8">
        <v>0</v>
      </c>
      <c r="AU148" s="8">
        <v>54.84</v>
      </c>
      <c r="AV148" s="8">
        <v>54.84</v>
      </c>
      <c r="AW148" s="6"/>
      <c r="AX148" s="6"/>
      <c r="AY148" s="6"/>
      <c r="AZ148" s="6"/>
      <c r="BA148" s="8">
        <v>412.74</v>
      </c>
      <c r="BB148" s="8">
        <v>412.74</v>
      </c>
      <c r="BC148" s="8">
        <v>6</v>
      </c>
      <c r="BD148" s="8">
        <v>6</v>
      </c>
      <c r="BE148" s="8">
        <v>16.75</v>
      </c>
      <c r="BF148" s="8">
        <v>0</v>
      </c>
      <c r="BG148" s="8">
        <v>16.75</v>
      </c>
      <c r="BH148" s="6"/>
      <c r="BI148" s="6"/>
      <c r="BJ148" s="6"/>
      <c r="BK148" s="6"/>
      <c r="BL148" s="8">
        <v>3035.75</v>
      </c>
      <c r="BM148" s="8">
        <v>75</v>
      </c>
      <c r="BN148" s="6"/>
      <c r="BO148" s="8">
        <v>5</v>
      </c>
      <c r="BP148" s="6"/>
      <c r="BQ148" s="8">
        <v>75.5</v>
      </c>
      <c r="BR148" s="8">
        <v>155.5</v>
      </c>
      <c r="BS148" s="8">
        <v>155.5</v>
      </c>
      <c r="BT148" s="6"/>
      <c r="BU148" s="6"/>
      <c r="BV148" s="6"/>
      <c r="BW148" s="6"/>
      <c r="BX148" s="6"/>
      <c r="BY148" s="6"/>
      <c r="BZ148" s="6"/>
      <c r="CA148" s="6"/>
      <c r="CB148" s="6"/>
      <c r="CC148" s="6"/>
      <c r="CD148" s="6"/>
      <c r="CE148" s="6"/>
      <c r="CF148" s="6"/>
      <c r="CG148" s="9">
        <v>3191.25</v>
      </c>
    </row>
    <row r="149" spans="1:85" x14ac:dyDescent="0.3">
      <c r="A149" s="3" t="str">
        <f t="shared" si="4"/>
        <v>NON ADDCross-Foundation ActivitiesAdvanced Manufacturing (Total AdMan+FutMan)Total</v>
      </c>
      <c r="B149" s="6" t="s">
        <v>223</v>
      </c>
      <c r="C149" s="6" t="s">
        <v>224</v>
      </c>
      <c r="D149" s="6" t="s">
        <v>225</v>
      </c>
      <c r="E149" s="6" t="s">
        <v>24</v>
      </c>
      <c r="F149" s="6"/>
      <c r="G149" s="6"/>
      <c r="H149" s="6"/>
      <c r="I149" s="6"/>
      <c r="J149" s="6"/>
      <c r="K149" s="8">
        <v>17.16</v>
      </c>
      <c r="L149" s="8">
        <v>17.16</v>
      </c>
      <c r="M149" s="6"/>
      <c r="N149" s="6"/>
      <c r="O149" s="6"/>
      <c r="P149" s="6"/>
      <c r="Q149" s="6"/>
      <c r="R149" s="8">
        <v>42.22</v>
      </c>
      <c r="S149" s="8">
        <v>42.22</v>
      </c>
      <c r="T149" s="6"/>
      <c r="U149" s="6"/>
      <c r="V149" s="6"/>
      <c r="W149" s="6"/>
      <c r="X149" s="6"/>
      <c r="Y149" s="6"/>
      <c r="Z149" s="8">
        <v>174.37</v>
      </c>
      <c r="AA149" s="8">
        <v>174.37</v>
      </c>
      <c r="AB149" s="6"/>
      <c r="AC149" s="6"/>
      <c r="AD149" s="6"/>
      <c r="AE149" s="6"/>
      <c r="AF149" s="6"/>
      <c r="AG149" s="6"/>
      <c r="AH149" s="6"/>
      <c r="AI149" s="6"/>
      <c r="AJ149" s="8">
        <v>92</v>
      </c>
      <c r="AK149" s="8">
        <v>26.8</v>
      </c>
      <c r="AL149" s="8">
        <v>1</v>
      </c>
      <c r="AM149" s="8">
        <v>0</v>
      </c>
      <c r="AN149" s="8">
        <v>3.33</v>
      </c>
      <c r="AO149" s="8">
        <v>0</v>
      </c>
      <c r="AP149" s="8">
        <v>123.13</v>
      </c>
      <c r="AQ149" s="6"/>
      <c r="AR149" s="6"/>
      <c r="AS149" s="6"/>
      <c r="AT149" s="6"/>
      <c r="AU149" s="8">
        <v>3.5</v>
      </c>
      <c r="AV149" s="8">
        <v>3.5</v>
      </c>
      <c r="AW149" s="6"/>
      <c r="AX149" s="6"/>
      <c r="AY149" s="6"/>
      <c r="AZ149" s="6"/>
      <c r="BA149" s="8">
        <v>54.63</v>
      </c>
      <c r="BB149" s="8">
        <v>54.63</v>
      </c>
      <c r="BC149" s="8">
        <v>0.5</v>
      </c>
      <c r="BD149" s="8">
        <v>0.5</v>
      </c>
      <c r="BE149" s="8">
        <v>1</v>
      </c>
      <c r="BF149" s="6"/>
      <c r="BG149" s="8">
        <v>1</v>
      </c>
      <c r="BH149" s="6"/>
      <c r="BI149" s="6"/>
      <c r="BJ149" s="6"/>
      <c r="BK149" s="6"/>
      <c r="BL149" s="8">
        <v>416.51</v>
      </c>
      <c r="BM149" s="6"/>
      <c r="BN149" s="6"/>
      <c r="BO149" s="8">
        <v>5</v>
      </c>
      <c r="BP149" s="6"/>
      <c r="BQ149" s="6"/>
      <c r="BR149" s="8">
        <v>5</v>
      </c>
      <c r="BS149" s="8">
        <v>5</v>
      </c>
      <c r="BT149" s="6"/>
      <c r="BU149" s="6"/>
      <c r="BV149" s="6"/>
      <c r="BW149" s="6"/>
      <c r="BX149" s="6"/>
      <c r="BY149" s="6"/>
      <c r="BZ149" s="6"/>
      <c r="CA149" s="6"/>
      <c r="CB149" s="6"/>
      <c r="CC149" s="6"/>
      <c r="CD149" s="6"/>
      <c r="CE149" s="6"/>
      <c r="CF149" s="6"/>
      <c r="CG149" s="9">
        <v>421.51</v>
      </c>
    </row>
    <row r="150" spans="1:85" x14ac:dyDescent="0.3">
      <c r="A150" s="3" t="str">
        <f t="shared" si="4"/>
        <v>NON ADDCross-Foundation ActivitiesAdvanced Manufacturing (Total AdMan+FutMan)AdvMan - Core Investments</v>
      </c>
      <c r="B150" s="6" t="s">
        <v>223</v>
      </c>
      <c r="C150" s="6" t="s">
        <v>224</v>
      </c>
      <c r="D150" s="6" t="s">
        <v>225</v>
      </c>
      <c r="E150" s="6" t="s">
        <v>226</v>
      </c>
      <c r="F150" s="6"/>
      <c r="G150" s="6"/>
      <c r="H150" s="6"/>
      <c r="I150" s="6"/>
      <c r="J150" s="6"/>
      <c r="K150" s="8">
        <v>3.16</v>
      </c>
      <c r="L150" s="8">
        <v>3.16</v>
      </c>
      <c r="M150" s="6"/>
      <c r="N150" s="6"/>
      <c r="O150" s="6"/>
      <c r="P150" s="6"/>
      <c r="Q150" s="6"/>
      <c r="R150" s="8">
        <v>42.22</v>
      </c>
      <c r="S150" s="8">
        <v>42.22</v>
      </c>
      <c r="T150" s="6"/>
      <c r="U150" s="6"/>
      <c r="V150" s="6"/>
      <c r="W150" s="6"/>
      <c r="X150" s="6"/>
      <c r="Y150" s="6"/>
      <c r="Z150" s="8">
        <v>150.37</v>
      </c>
      <c r="AA150" s="8">
        <v>150.37</v>
      </c>
      <c r="AB150" s="6"/>
      <c r="AC150" s="6"/>
      <c r="AD150" s="6"/>
      <c r="AE150" s="6"/>
      <c r="AF150" s="6"/>
      <c r="AG150" s="6"/>
      <c r="AH150" s="6"/>
      <c r="AI150" s="6"/>
      <c r="AJ150" s="8">
        <v>90</v>
      </c>
      <c r="AK150" s="8">
        <v>24</v>
      </c>
      <c r="AL150" s="8">
        <v>0</v>
      </c>
      <c r="AM150" s="8">
        <v>0</v>
      </c>
      <c r="AN150" s="8">
        <v>3.33</v>
      </c>
      <c r="AO150" s="8">
        <v>0</v>
      </c>
      <c r="AP150" s="8">
        <v>117.33</v>
      </c>
      <c r="AQ150" s="6"/>
      <c r="AR150" s="6"/>
      <c r="AS150" s="6"/>
      <c r="AT150" s="6"/>
      <c r="AU150" s="8">
        <v>3</v>
      </c>
      <c r="AV150" s="8">
        <v>3</v>
      </c>
      <c r="AW150" s="6"/>
      <c r="AX150" s="6"/>
      <c r="AY150" s="6"/>
      <c r="AZ150" s="6"/>
      <c r="BA150" s="8">
        <v>54.63</v>
      </c>
      <c r="BB150" s="8">
        <v>54.63</v>
      </c>
      <c r="BC150" s="6"/>
      <c r="BD150" s="6"/>
      <c r="BE150" s="8">
        <v>0.5</v>
      </c>
      <c r="BF150" s="6"/>
      <c r="BG150" s="8">
        <v>0.5</v>
      </c>
      <c r="BH150" s="6"/>
      <c r="BI150" s="6"/>
      <c r="BJ150" s="6"/>
      <c r="BK150" s="6"/>
      <c r="BL150" s="8">
        <v>371.21</v>
      </c>
      <c r="BM150" s="6"/>
      <c r="BN150" s="6"/>
      <c r="BO150" s="8">
        <v>5</v>
      </c>
      <c r="BP150" s="6"/>
      <c r="BQ150" s="6"/>
      <c r="BR150" s="8">
        <v>5</v>
      </c>
      <c r="BS150" s="8">
        <v>5</v>
      </c>
      <c r="BT150" s="6"/>
      <c r="BU150" s="6"/>
      <c r="BV150" s="6"/>
      <c r="BW150" s="6"/>
      <c r="BX150" s="6"/>
      <c r="BY150" s="6"/>
      <c r="BZ150" s="6"/>
      <c r="CA150" s="6"/>
      <c r="CB150" s="6"/>
      <c r="CC150" s="6"/>
      <c r="CD150" s="6"/>
      <c r="CE150" s="6"/>
      <c r="CF150" s="6"/>
      <c r="CG150" s="9">
        <v>376.21</v>
      </c>
    </row>
    <row r="151" spans="1:85" x14ac:dyDescent="0.3">
      <c r="A151" s="3" t="str">
        <f t="shared" si="4"/>
        <v>NON ADDCross-Foundation ActivitiesAdvanced Manufacturing (Total AdMan+FutMan)AdvMan - Future Manufacturing</v>
      </c>
      <c r="B151" s="6" t="s">
        <v>223</v>
      </c>
      <c r="C151" s="6" t="s">
        <v>224</v>
      </c>
      <c r="D151" s="6" t="s">
        <v>225</v>
      </c>
      <c r="E151" s="6" t="s">
        <v>227</v>
      </c>
      <c r="F151" s="6"/>
      <c r="G151" s="6"/>
      <c r="H151" s="6"/>
      <c r="I151" s="6"/>
      <c r="J151" s="6"/>
      <c r="K151" s="8">
        <v>14</v>
      </c>
      <c r="L151" s="8">
        <v>14</v>
      </c>
      <c r="M151" s="6"/>
      <c r="N151" s="6"/>
      <c r="O151" s="6"/>
      <c r="P151" s="6"/>
      <c r="Q151" s="6"/>
      <c r="R151" s="6"/>
      <c r="S151" s="6"/>
      <c r="T151" s="6"/>
      <c r="U151" s="6"/>
      <c r="V151" s="6"/>
      <c r="W151" s="6"/>
      <c r="X151" s="6"/>
      <c r="Y151" s="6"/>
      <c r="Z151" s="8">
        <v>24</v>
      </c>
      <c r="AA151" s="8">
        <v>24</v>
      </c>
      <c r="AB151" s="6"/>
      <c r="AC151" s="6"/>
      <c r="AD151" s="6"/>
      <c r="AE151" s="6"/>
      <c r="AF151" s="6"/>
      <c r="AG151" s="6"/>
      <c r="AH151" s="6"/>
      <c r="AI151" s="6"/>
      <c r="AJ151" s="8">
        <v>2</v>
      </c>
      <c r="AK151" s="8">
        <v>2.8</v>
      </c>
      <c r="AL151" s="8">
        <v>1</v>
      </c>
      <c r="AM151" s="6"/>
      <c r="AN151" s="6"/>
      <c r="AO151" s="6"/>
      <c r="AP151" s="8">
        <v>5.8</v>
      </c>
      <c r="AQ151" s="6"/>
      <c r="AR151" s="6"/>
      <c r="AS151" s="6"/>
      <c r="AT151" s="6"/>
      <c r="AU151" s="8">
        <v>0.5</v>
      </c>
      <c r="AV151" s="8">
        <v>0.5</v>
      </c>
      <c r="AW151" s="6"/>
      <c r="AX151" s="6"/>
      <c r="AY151" s="6"/>
      <c r="AZ151" s="6"/>
      <c r="BA151" s="8">
        <v>0</v>
      </c>
      <c r="BB151" s="8">
        <v>0</v>
      </c>
      <c r="BC151" s="8">
        <v>0.5</v>
      </c>
      <c r="BD151" s="8">
        <v>0.5</v>
      </c>
      <c r="BE151" s="8">
        <v>0.5</v>
      </c>
      <c r="BF151" s="6"/>
      <c r="BG151" s="8">
        <v>0.5</v>
      </c>
      <c r="BH151" s="6"/>
      <c r="BI151" s="6"/>
      <c r="BJ151" s="6"/>
      <c r="BK151" s="6"/>
      <c r="BL151" s="8">
        <v>45.3</v>
      </c>
      <c r="BM151" s="6"/>
      <c r="BN151" s="6"/>
      <c r="BO151" s="8">
        <v>0</v>
      </c>
      <c r="BP151" s="6"/>
      <c r="BQ151" s="6"/>
      <c r="BR151" s="8">
        <v>0</v>
      </c>
      <c r="BS151" s="8">
        <v>0</v>
      </c>
      <c r="BT151" s="6"/>
      <c r="BU151" s="6"/>
      <c r="BV151" s="6"/>
      <c r="BW151" s="6"/>
      <c r="BX151" s="6"/>
      <c r="BY151" s="6"/>
      <c r="BZ151" s="6"/>
      <c r="CA151" s="6"/>
      <c r="CB151" s="6"/>
      <c r="CC151" s="6"/>
      <c r="CD151" s="6"/>
      <c r="CE151" s="6"/>
      <c r="CF151" s="6"/>
      <c r="CG151" s="9">
        <v>45.3</v>
      </c>
    </row>
    <row r="152" spans="1:85" x14ac:dyDescent="0.3">
      <c r="A152" s="3" t="str">
        <f t="shared" si="4"/>
        <v>NON ADDCross-Foundation ActivitiesAdvanced WirelessTotal</v>
      </c>
      <c r="B152" s="6" t="s">
        <v>223</v>
      </c>
      <c r="C152" s="6" t="s">
        <v>224</v>
      </c>
      <c r="D152" s="6" t="s">
        <v>228</v>
      </c>
      <c r="E152" s="6" t="s">
        <v>24</v>
      </c>
      <c r="F152" s="6"/>
      <c r="G152" s="6"/>
      <c r="H152" s="6"/>
      <c r="I152" s="6"/>
      <c r="J152" s="6"/>
      <c r="K152" s="6"/>
      <c r="L152" s="6"/>
      <c r="M152" s="6"/>
      <c r="N152" s="6"/>
      <c r="O152" s="6"/>
      <c r="P152" s="6"/>
      <c r="Q152" s="6"/>
      <c r="R152" s="8">
        <v>93.26</v>
      </c>
      <c r="S152" s="8">
        <v>93.26</v>
      </c>
      <c r="T152" s="6"/>
      <c r="U152" s="6"/>
      <c r="V152" s="6"/>
      <c r="W152" s="6"/>
      <c r="X152" s="6"/>
      <c r="Y152" s="6"/>
      <c r="Z152" s="8">
        <v>27.75</v>
      </c>
      <c r="AA152" s="8">
        <v>27.75</v>
      </c>
      <c r="AB152" s="6"/>
      <c r="AC152" s="6"/>
      <c r="AD152" s="6"/>
      <c r="AE152" s="6"/>
      <c r="AF152" s="6"/>
      <c r="AG152" s="6"/>
      <c r="AH152" s="6"/>
      <c r="AI152" s="6"/>
      <c r="AJ152" s="6"/>
      <c r="AK152" s="6"/>
      <c r="AL152" s="6"/>
      <c r="AM152" s="8">
        <v>17</v>
      </c>
      <c r="AN152" s="6"/>
      <c r="AO152" s="6"/>
      <c r="AP152" s="8">
        <v>17</v>
      </c>
      <c r="AQ152" s="6"/>
      <c r="AR152" s="6"/>
      <c r="AS152" s="6"/>
      <c r="AT152" s="6"/>
      <c r="AU152" s="6"/>
      <c r="AV152" s="6"/>
      <c r="AW152" s="6"/>
      <c r="AX152" s="6"/>
      <c r="AY152" s="6"/>
      <c r="AZ152" s="6"/>
      <c r="BA152" s="8">
        <v>30.55</v>
      </c>
      <c r="BB152" s="8">
        <v>30.55</v>
      </c>
      <c r="BC152" s="6"/>
      <c r="BD152" s="6"/>
      <c r="BE152" s="6"/>
      <c r="BF152" s="6"/>
      <c r="BG152" s="6"/>
      <c r="BH152" s="6"/>
      <c r="BI152" s="6"/>
      <c r="BJ152" s="6"/>
      <c r="BK152" s="6"/>
      <c r="BL152" s="8">
        <v>168.56</v>
      </c>
      <c r="BM152" s="6"/>
      <c r="BN152" s="6"/>
      <c r="BO152" s="6"/>
      <c r="BP152" s="6"/>
      <c r="BQ152" s="6"/>
      <c r="BR152" s="6"/>
      <c r="BS152" s="6"/>
      <c r="BT152" s="6"/>
      <c r="BU152" s="6"/>
      <c r="BV152" s="6"/>
      <c r="BW152" s="6"/>
      <c r="BX152" s="6"/>
      <c r="BY152" s="6"/>
      <c r="BZ152" s="6"/>
      <c r="CA152" s="6"/>
      <c r="CB152" s="6"/>
      <c r="CC152" s="6"/>
      <c r="CD152" s="6"/>
      <c r="CE152" s="6"/>
      <c r="CF152" s="6"/>
      <c r="CG152" s="9">
        <v>168.56</v>
      </c>
    </row>
    <row r="153" spans="1:85" x14ac:dyDescent="0.3">
      <c r="A153" s="3" t="str">
        <f t="shared" si="4"/>
        <v>NON ADDCross-Foundation ActivitiesArtificial Intelligence (AI)Total</v>
      </c>
      <c r="B153" s="6" t="s">
        <v>223</v>
      </c>
      <c r="C153" s="6" t="s">
        <v>224</v>
      </c>
      <c r="D153" s="6" t="s">
        <v>229</v>
      </c>
      <c r="E153" s="6" t="s">
        <v>24</v>
      </c>
      <c r="F153" s="6"/>
      <c r="G153" s="6"/>
      <c r="H153" s="6"/>
      <c r="I153" s="6"/>
      <c r="J153" s="6"/>
      <c r="K153" s="8">
        <v>20</v>
      </c>
      <c r="L153" s="8">
        <v>20</v>
      </c>
      <c r="M153" s="6"/>
      <c r="N153" s="6"/>
      <c r="O153" s="6"/>
      <c r="P153" s="6"/>
      <c r="Q153" s="6"/>
      <c r="R153" s="8">
        <v>369.8</v>
      </c>
      <c r="S153" s="8">
        <v>369.8</v>
      </c>
      <c r="T153" s="6"/>
      <c r="U153" s="6"/>
      <c r="V153" s="6"/>
      <c r="W153" s="6"/>
      <c r="X153" s="6"/>
      <c r="Y153" s="6"/>
      <c r="Z153" s="8">
        <v>95.8</v>
      </c>
      <c r="AA153" s="8">
        <v>95.8</v>
      </c>
      <c r="AB153" s="6"/>
      <c r="AC153" s="6"/>
      <c r="AD153" s="6"/>
      <c r="AE153" s="6"/>
      <c r="AF153" s="6"/>
      <c r="AG153" s="8">
        <v>5</v>
      </c>
      <c r="AH153" s="8">
        <v>5</v>
      </c>
      <c r="AI153" s="8">
        <v>1</v>
      </c>
      <c r="AJ153" s="8">
        <v>10</v>
      </c>
      <c r="AK153" s="8">
        <v>17.77</v>
      </c>
      <c r="AL153" s="8">
        <v>18</v>
      </c>
      <c r="AM153" s="8">
        <v>4.1900000000000004</v>
      </c>
      <c r="AN153" s="8">
        <v>20.71</v>
      </c>
      <c r="AO153" s="6"/>
      <c r="AP153" s="8">
        <v>71.67</v>
      </c>
      <c r="AQ153" s="6"/>
      <c r="AR153" s="6"/>
      <c r="AS153" s="6"/>
      <c r="AT153" s="6"/>
      <c r="AU153" s="8">
        <v>19.59</v>
      </c>
      <c r="AV153" s="8">
        <v>19.59</v>
      </c>
      <c r="AW153" s="6"/>
      <c r="AX153" s="6"/>
      <c r="AY153" s="6"/>
      <c r="AZ153" s="6"/>
      <c r="BA153" s="8">
        <v>101.55</v>
      </c>
      <c r="BB153" s="8">
        <v>101.55</v>
      </c>
      <c r="BC153" s="6"/>
      <c r="BD153" s="6"/>
      <c r="BE153" s="8">
        <v>1</v>
      </c>
      <c r="BF153" s="6"/>
      <c r="BG153" s="8">
        <v>1</v>
      </c>
      <c r="BH153" s="6"/>
      <c r="BI153" s="6"/>
      <c r="BJ153" s="6"/>
      <c r="BK153" s="6"/>
      <c r="BL153" s="8">
        <v>684.41</v>
      </c>
      <c r="BM153" s="6"/>
      <c r="BN153" s="6"/>
      <c r="BO153" s="6"/>
      <c r="BP153" s="6"/>
      <c r="BQ153" s="8">
        <v>50</v>
      </c>
      <c r="BR153" s="8">
        <v>50</v>
      </c>
      <c r="BS153" s="8">
        <v>50</v>
      </c>
      <c r="BT153" s="6"/>
      <c r="BU153" s="6"/>
      <c r="BV153" s="6"/>
      <c r="BW153" s="6"/>
      <c r="BX153" s="6"/>
      <c r="BY153" s="6"/>
      <c r="BZ153" s="6"/>
      <c r="CA153" s="6"/>
      <c r="CB153" s="6"/>
      <c r="CC153" s="6"/>
      <c r="CD153" s="6"/>
      <c r="CE153" s="6"/>
      <c r="CF153" s="6"/>
      <c r="CG153" s="9">
        <v>734.41</v>
      </c>
    </row>
    <row r="154" spans="1:85" x14ac:dyDescent="0.3">
      <c r="A154" s="3" t="str">
        <f t="shared" si="4"/>
        <v>NON ADDCross-Foundation ActivitiesBiotechnologyTotal</v>
      </c>
      <c r="B154" s="6" t="s">
        <v>223</v>
      </c>
      <c r="C154" s="6" t="s">
        <v>224</v>
      </c>
      <c r="D154" s="6" t="s">
        <v>231</v>
      </c>
      <c r="E154" s="6" t="s">
        <v>24</v>
      </c>
      <c r="F154" s="6"/>
      <c r="G154" s="6"/>
      <c r="H154" s="6"/>
      <c r="I154" s="6"/>
      <c r="J154" s="6"/>
      <c r="K154" s="8">
        <v>130</v>
      </c>
      <c r="L154" s="8">
        <v>130</v>
      </c>
      <c r="M154" s="6"/>
      <c r="N154" s="6"/>
      <c r="O154" s="6"/>
      <c r="P154" s="6"/>
      <c r="Q154" s="6"/>
      <c r="R154" s="8">
        <v>6</v>
      </c>
      <c r="S154" s="8">
        <v>6</v>
      </c>
      <c r="T154" s="6"/>
      <c r="U154" s="6"/>
      <c r="V154" s="6"/>
      <c r="W154" s="6"/>
      <c r="X154" s="6"/>
      <c r="Y154" s="6"/>
      <c r="Z154" s="8">
        <v>101.5</v>
      </c>
      <c r="AA154" s="8">
        <v>101.5</v>
      </c>
      <c r="AB154" s="6"/>
      <c r="AC154" s="6"/>
      <c r="AD154" s="6"/>
      <c r="AE154" s="8">
        <v>2</v>
      </c>
      <c r="AF154" s="6"/>
      <c r="AG154" s="8">
        <v>10</v>
      </c>
      <c r="AH154" s="8">
        <v>12</v>
      </c>
      <c r="AI154" s="6"/>
      <c r="AJ154" s="8">
        <v>30</v>
      </c>
      <c r="AK154" s="8">
        <v>25</v>
      </c>
      <c r="AL154" s="6"/>
      <c r="AM154" s="6"/>
      <c r="AN154" s="8">
        <v>7.2</v>
      </c>
      <c r="AO154" s="6"/>
      <c r="AP154" s="8">
        <v>62.2</v>
      </c>
      <c r="AQ154" s="6"/>
      <c r="AR154" s="6"/>
      <c r="AS154" s="6"/>
      <c r="AT154" s="6"/>
      <c r="AU154" s="8">
        <v>1.5</v>
      </c>
      <c r="AV154" s="8">
        <v>1.5</v>
      </c>
      <c r="AW154" s="6"/>
      <c r="AX154" s="6"/>
      <c r="AY154" s="6"/>
      <c r="AZ154" s="6"/>
      <c r="BA154" s="8">
        <v>69.06</v>
      </c>
      <c r="BB154" s="8">
        <v>69.06</v>
      </c>
      <c r="BC154" s="6"/>
      <c r="BD154" s="6"/>
      <c r="BE154" s="8">
        <v>1</v>
      </c>
      <c r="BF154" s="6"/>
      <c r="BG154" s="8">
        <v>1</v>
      </c>
      <c r="BH154" s="6"/>
      <c r="BI154" s="6"/>
      <c r="BJ154" s="6"/>
      <c r="BK154" s="6"/>
      <c r="BL154" s="8">
        <v>383.26</v>
      </c>
      <c r="BM154" s="6"/>
      <c r="BN154" s="6"/>
      <c r="BO154" s="6"/>
      <c r="BP154" s="6"/>
      <c r="BQ154" s="8">
        <v>9</v>
      </c>
      <c r="BR154" s="8">
        <v>9</v>
      </c>
      <c r="BS154" s="8">
        <v>9</v>
      </c>
      <c r="BT154" s="6"/>
      <c r="BU154" s="6"/>
      <c r="BV154" s="6"/>
      <c r="BW154" s="6"/>
      <c r="BX154" s="6"/>
      <c r="BY154" s="6"/>
      <c r="BZ154" s="6"/>
      <c r="CA154" s="6"/>
      <c r="CB154" s="6"/>
      <c r="CC154" s="6"/>
      <c r="CD154" s="6"/>
      <c r="CE154" s="6"/>
      <c r="CF154" s="6"/>
      <c r="CG154" s="9">
        <v>392.26</v>
      </c>
    </row>
    <row r="155" spans="1:85" x14ac:dyDescent="0.3">
      <c r="A155" s="3" t="str">
        <f t="shared" si="4"/>
        <v>NON ADDCross-Foundation ActivitiesClean Energy TechnologyTotal</v>
      </c>
      <c r="B155" s="6" t="s">
        <v>223</v>
      </c>
      <c r="C155" s="6" t="s">
        <v>224</v>
      </c>
      <c r="D155" s="6" t="s">
        <v>233</v>
      </c>
      <c r="E155" s="6" t="s">
        <v>24</v>
      </c>
      <c r="F155" s="6"/>
      <c r="G155" s="6"/>
      <c r="H155" s="6"/>
      <c r="I155" s="6"/>
      <c r="J155" s="6"/>
      <c r="K155" s="8">
        <v>59.28</v>
      </c>
      <c r="L155" s="8">
        <v>59.28</v>
      </c>
      <c r="M155" s="6"/>
      <c r="N155" s="6"/>
      <c r="O155" s="6"/>
      <c r="P155" s="6"/>
      <c r="Q155" s="6"/>
      <c r="R155" s="8">
        <v>31.12</v>
      </c>
      <c r="S155" s="8">
        <v>31.12</v>
      </c>
      <c r="T155" s="6"/>
      <c r="U155" s="6"/>
      <c r="V155" s="6"/>
      <c r="W155" s="6"/>
      <c r="X155" s="6"/>
      <c r="Y155" s="6"/>
      <c r="Z155" s="8">
        <v>223.57</v>
      </c>
      <c r="AA155" s="8">
        <v>223.57</v>
      </c>
      <c r="AB155" s="6"/>
      <c r="AC155" s="6"/>
      <c r="AD155" s="6"/>
      <c r="AE155" s="6"/>
      <c r="AF155" s="6"/>
      <c r="AG155" s="6"/>
      <c r="AH155" s="6"/>
      <c r="AI155" s="6"/>
      <c r="AJ155" s="8">
        <v>60.73</v>
      </c>
      <c r="AK155" s="8">
        <v>52.14</v>
      </c>
      <c r="AL155" s="8">
        <v>1</v>
      </c>
      <c r="AM155" s="8">
        <v>10</v>
      </c>
      <c r="AN155" s="8">
        <v>4.6900000000000004</v>
      </c>
      <c r="AO155" s="8">
        <v>0</v>
      </c>
      <c r="AP155" s="8">
        <v>128.56</v>
      </c>
      <c r="AQ155" s="6"/>
      <c r="AR155" s="6"/>
      <c r="AS155" s="6"/>
      <c r="AT155" s="6"/>
      <c r="AU155" s="6"/>
      <c r="AV155" s="6"/>
      <c r="AW155" s="6"/>
      <c r="AX155" s="6"/>
      <c r="AY155" s="6"/>
      <c r="AZ155" s="6"/>
      <c r="BA155" s="8">
        <v>52.47</v>
      </c>
      <c r="BB155" s="8">
        <v>52.47</v>
      </c>
      <c r="BC155" s="8">
        <v>5</v>
      </c>
      <c r="BD155" s="8">
        <v>5</v>
      </c>
      <c r="BE155" s="8">
        <v>0</v>
      </c>
      <c r="BF155" s="6"/>
      <c r="BG155" s="8">
        <v>0</v>
      </c>
      <c r="BH155" s="6"/>
      <c r="BI155" s="6"/>
      <c r="BJ155" s="6"/>
      <c r="BK155" s="6"/>
      <c r="BL155" s="8">
        <v>500</v>
      </c>
      <c r="BM155" s="6"/>
      <c r="BN155" s="6"/>
      <c r="BO155" s="6"/>
      <c r="BP155" s="6"/>
      <c r="BQ155" s="6"/>
      <c r="BR155" s="6"/>
      <c r="BS155" s="6"/>
      <c r="BT155" s="6"/>
      <c r="BU155" s="6"/>
      <c r="BV155" s="6"/>
      <c r="BW155" s="6"/>
      <c r="BX155" s="6"/>
      <c r="BY155" s="6"/>
      <c r="BZ155" s="6"/>
      <c r="CA155" s="6"/>
      <c r="CB155" s="6"/>
      <c r="CC155" s="6"/>
      <c r="CD155" s="6"/>
      <c r="CE155" s="6"/>
      <c r="CF155" s="6"/>
      <c r="CG155" s="9">
        <v>500</v>
      </c>
    </row>
    <row r="156" spans="1:85" x14ac:dyDescent="0.3">
      <c r="A156" s="3" t="str">
        <f t="shared" si="4"/>
        <v>NON ADDCross-Foundation ActivitiesCoastlines and People (CoPE)Total</v>
      </c>
      <c r="B156" s="6" t="s">
        <v>223</v>
      </c>
      <c r="C156" s="6" t="s">
        <v>224</v>
      </c>
      <c r="D156" s="6" t="s">
        <v>234</v>
      </c>
      <c r="E156" s="6" t="s">
        <v>24</v>
      </c>
      <c r="F156" s="6"/>
      <c r="G156" s="6"/>
      <c r="H156" s="6"/>
      <c r="I156" s="6"/>
      <c r="J156" s="6"/>
      <c r="K156" s="8">
        <v>1</v>
      </c>
      <c r="L156" s="8">
        <v>1</v>
      </c>
      <c r="M156" s="6"/>
      <c r="N156" s="6"/>
      <c r="O156" s="6"/>
      <c r="P156" s="6"/>
      <c r="Q156" s="6"/>
      <c r="R156" s="6"/>
      <c r="S156" s="6"/>
      <c r="T156" s="6"/>
      <c r="U156" s="6"/>
      <c r="V156" s="6"/>
      <c r="W156" s="6"/>
      <c r="X156" s="6"/>
      <c r="Y156" s="6"/>
      <c r="Z156" s="8">
        <v>1.5</v>
      </c>
      <c r="AA156" s="8">
        <v>1.5</v>
      </c>
      <c r="AB156" s="6"/>
      <c r="AC156" s="6"/>
      <c r="AD156" s="6"/>
      <c r="AE156" s="6"/>
      <c r="AF156" s="6"/>
      <c r="AG156" s="8">
        <v>23</v>
      </c>
      <c r="AH156" s="8">
        <v>23</v>
      </c>
      <c r="AI156" s="6"/>
      <c r="AJ156" s="6"/>
      <c r="AK156" s="6"/>
      <c r="AL156" s="6"/>
      <c r="AM156" s="6"/>
      <c r="AN156" s="6"/>
      <c r="AO156" s="6"/>
      <c r="AP156" s="6"/>
      <c r="AQ156" s="6"/>
      <c r="AR156" s="6"/>
      <c r="AS156" s="6"/>
      <c r="AT156" s="6"/>
      <c r="AU156" s="8">
        <v>2.5</v>
      </c>
      <c r="AV156" s="8">
        <v>2.5</v>
      </c>
      <c r="AW156" s="6"/>
      <c r="AX156" s="6"/>
      <c r="AY156" s="6"/>
      <c r="AZ156" s="6"/>
      <c r="BA156" s="6"/>
      <c r="BB156" s="6"/>
      <c r="BC156" s="6"/>
      <c r="BD156" s="6"/>
      <c r="BE156" s="6"/>
      <c r="BF156" s="6"/>
      <c r="BG156" s="6"/>
      <c r="BH156" s="6"/>
      <c r="BI156" s="6"/>
      <c r="BJ156" s="6"/>
      <c r="BK156" s="6"/>
      <c r="BL156" s="8">
        <v>28</v>
      </c>
      <c r="BM156" s="6"/>
      <c r="BN156" s="6"/>
      <c r="BO156" s="6"/>
      <c r="BP156" s="6"/>
      <c r="BQ156" s="6"/>
      <c r="BR156" s="6"/>
      <c r="BS156" s="6"/>
      <c r="BT156" s="6"/>
      <c r="BU156" s="6"/>
      <c r="BV156" s="6"/>
      <c r="BW156" s="6"/>
      <c r="BX156" s="6"/>
      <c r="BY156" s="6"/>
      <c r="BZ156" s="6"/>
      <c r="CA156" s="6"/>
      <c r="CB156" s="6"/>
      <c r="CC156" s="6"/>
      <c r="CD156" s="6"/>
      <c r="CE156" s="6"/>
      <c r="CF156" s="6"/>
      <c r="CG156" s="9">
        <v>28</v>
      </c>
    </row>
    <row r="157" spans="1:85" x14ac:dyDescent="0.3">
      <c r="A157" s="3" t="str">
        <f t="shared" si="4"/>
        <v>NON ADDCross-Foundation ActivitiesHarnessing the Data Revolution (HDR) - TotalTotal</v>
      </c>
      <c r="B157" s="6" t="s">
        <v>223</v>
      </c>
      <c r="C157" s="6" t="s">
        <v>224</v>
      </c>
      <c r="D157" s="6" t="s">
        <v>235</v>
      </c>
      <c r="E157" s="6" t="s">
        <v>24</v>
      </c>
      <c r="F157" s="6"/>
      <c r="G157" s="6"/>
      <c r="H157" s="6"/>
      <c r="I157" s="6"/>
      <c r="J157" s="6"/>
      <c r="K157" s="8">
        <v>7.41</v>
      </c>
      <c r="L157" s="8">
        <v>7.41</v>
      </c>
      <c r="M157" s="6"/>
      <c r="N157" s="6"/>
      <c r="O157" s="6"/>
      <c r="P157" s="6"/>
      <c r="Q157" s="6"/>
      <c r="R157" s="8">
        <v>89.6</v>
      </c>
      <c r="S157" s="8">
        <v>89.6</v>
      </c>
      <c r="T157" s="6"/>
      <c r="U157" s="6"/>
      <c r="V157" s="6"/>
      <c r="W157" s="6"/>
      <c r="X157" s="6"/>
      <c r="Y157" s="6"/>
      <c r="Z157" s="8">
        <v>13.5</v>
      </c>
      <c r="AA157" s="8">
        <v>13.5</v>
      </c>
      <c r="AB157" s="6"/>
      <c r="AC157" s="6"/>
      <c r="AD157" s="6"/>
      <c r="AE157" s="6"/>
      <c r="AF157" s="6"/>
      <c r="AG157" s="8">
        <v>5.6</v>
      </c>
      <c r="AH157" s="8">
        <v>5.6</v>
      </c>
      <c r="AI157" s="8">
        <v>2</v>
      </c>
      <c r="AJ157" s="8">
        <v>8</v>
      </c>
      <c r="AK157" s="8">
        <v>5</v>
      </c>
      <c r="AL157" s="8">
        <v>5</v>
      </c>
      <c r="AM157" s="8">
        <v>0</v>
      </c>
      <c r="AN157" s="8">
        <v>2</v>
      </c>
      <c r="AO157" s="8">
        <v>0</v>
      </c>
      <c r="AP157" s="8">
        <v>22</v>
      </c>
      <c r="AQ157" s="6"/>
      <c r="AR157" s="6"/>
      <c r="AS157" s="6"/>
      <c r="AT157" s="6"/>
      <c r="AU157" s="8">
        <v>7.25</v>
      </c>
      <c r="AV157" s="8">
        <v>7.25</v>
      </c>
      <c r="AW157" s="6"/>
      <c r="AX157" s="6"/>
      <c r="AY157" s="6"/>
      <c r="AZ157" s="6"/>
      <c r="BA157" s="8">
        <v>21.75</v>
      </c>
      <c r="BB157" s="8">
        <v>21.75</v>
      </c>
      <c r="BC157" s="6"/>
      <c r="BD157" s="6"/>
      <c r="BE157" s="8">
        <v>10</v>
      </c>
      <c r="BF157" s="8">
        <v>0</v>
      </c>
      <c r="BG157" s="8">
        <v>10</v>
      </c>
      <c r="BH157" s="6"/>
      <c r="BI157" s="6"/>
      <c r="BJ157" s="6"/>
      <c r="BK157" s="6"/>
      <c r="BL157" s="8">
        <v>177.11</v>
      </c>
      <c r="BM157" s="6"/>
      <c r="BN157" s="6"/>
      <c r="BO157" s="6"/>
      <c r="BP157" s="6"/>
      <c r="BQ157" s="8">
        <v>5</v>
      </c>
      <c r="BR157" s="8">
        <v>5</v>
      </c>
      <c r="BS157" s="8">
        <v>5</v>
      </c>
      <c r="BT157" s="6"/>
      <c r="BU157" s="6"/>
      <c r="BV157" s="6"/>
      <c r="BW157" s="6"/>
      <c r="BX157" s="6"/>
      <c r="BY157" s="6"/>
      <c r="BZ157" s="6"/>
      <c r="CA157" s="6"/>
      <c r="CB157" s="6"/>
      <c r="CC157" s="6"/>
      <c r="CD157" s="6"/>
      <c r="CE157" s="6"/>
      <c r="CF157" s="6"/>
      <c r="CG157" s="9">
        <v>182.11</v>
      </c>
    </row>
    <row r="158" spans="1:85" x14ac:dyDescent="0.3">
      <c r="A158" s="3" t="str">
        <f t="shared" si="4"/>
        <v>NON ADDCross-Foundation ActivitiesMaterials Genome Initiative (MGI)Total</v>
      </c>
      <c r="B158" s="6" t="s">
        <v>223</v>
      </c>
      <c r="C158" s="6" t="s">
        <v>224</v>
      </c>
      <c r="D158" s="6" t="s">
        <v>237</v>
      </c>
      <c r="E158" s="6" t="s">
        <v>24</v>
      </c>
      <c r="F158" s="6"/>
      <c r="G158" s="6"/>
      <c r="H158" s="6"/>
      <c r="I158" s="6"/>
      <c r="J158" s="6"/>
      <c r="K158" s="6"/>
      <c r="L158" s="6"/>
      <c r="M158" s="6"/>
      <c r="N158" s="6"/>
      <c r="O158" s="6"/>
      <c r="P158" s="6"/>
      <c r="Q158" s="6"/>
      <c r="R158" s="8">
        <v>0</v>
      </c>
      <c r="S158" s="8">
        <v>0</v>
      </c>
      <c r="T158" s="6"/>
      <c r="U158" s="6"/>
      <c r="V158" s="6"/>
      <c r="W158" s="6"/>
      <c r="X158" s="6"/>
      <c r="Y158" s="6"/>
      <c r="Z158" s="8">
        <v>2</v>
      </c>
      <c r="AA158" s="8">
        <v>2</v>
      </c>
      <c r="AB158" s="6"/>
      <c r="AC158" s="6"/>
      <c r="AD158" s="6"/>
      <c r="AE158" s="6"/>
      <c r="AF158" s="6"/>
      <c r="AG158" s="6"/>
      <c r="AH158" s="6"/>
      <c r="AI158" s="6"/>
      <c r="AJ158" s="8">
        <v>2</v>
      </c>
      <c r="AK158" s="8">
        <v>35</v>
      </c>
      <c r="AL158" s="8">
        <v>0</v>
      </c>
      <c r="AM158" s="8">
        <v>0</v>
      </c>
      <c r="AN158" s="6"/>
      <c r="AO158" s="6"/>
      <c r="AP158" s="8">
        <v>37</v>
      </c>
      <c r="AQ158" s="6"/>
      <c r="AR158" s="6"/>
      <c r="AS158" s="6"/>
      <c r="AT158" s="6"/>
      <c r="AU158" s="6"/>
      <c r="AV158" s="6"/>
      <c r="AW158" s="6"/>
      <c r="AX158" s="6"/>
      <c r="AY158" s="6"/>
      <c r="AZ158" s="6"/>
      <c r="BA158" s="6"/>
      <c r="BB158" s="6"/>
      <c r="BC158" s="6"/>
      <c r="BD158" s="6"/>
      <c r="BE158" s="6"/>
      <c r="BF158" s="6"/>
      <c r="BG158" s="6"/>
      <c r="BH158" s="6"/>
      <c r="BI158" s="6"/>
      <c r="BJ158" s="6"/>
      <c r="BK158" s="6"/>
      <c r="BL158" s="8">
        <v>39</v>
      </c>
      <c r="BM158" s="6"/>
      <c r="BN158" s="6"/>
      <c r="BO158" s="6"/>
      <c r="BP158" s="6"/>
      <c r="BQ158" s="6"/>
      <c r="BR158" s="6"/>
      <c r="BS158" s="6"/>
      <c r="BT158" s="6"/>
      <c r="BU158" s="6"/>
      <c r="BV158" s="6"/>
      <c r="BW158" s="6"/>
      <c r="BX158" s="6"/>
      <c r="BY158" s="6"/>
      <c r="BZ158" s="6"/>
      <c r="CA158" s="6"/>
      <c r="CB158" s="6"/>
      <c r="CC158" s="6"/>
      <c r="CD158" s="6"/>
      <c r="CE158" s="6"/>
      <c r="CF158" s="6"/>
      <c r="CG158" s="9">
        <v>39</v>
      </c>
    </row>
    <row r="159" spans="1:85" x14ac:dyDescent="0.3">
      <c r="A159" s="3" t="str">
        <f t="shared" si="4"/>
        <v>NON ADDCross-Foundation ActivitiesMicroelectronics and SemiconductorsTotal</v>
      </c>
      <c r="B159" s="6" t="s">
        <v>223</v>
      </c>
      <c r="C159" s="6" t="s">
        <v>224</v>
      </c>
      <c r="D159" s="6" t="s">
        <v>238</v>
      </c>
      <c r="E159" s="6" t="s">
        <v>24</v>
      </c>
      <c r="F159" s="6"/>
      <c r="G159" s="6"/>
      <c r="H159" s="6"/>
      <c r="I159" s="6"/>
      <c r="J159" s="6"/>
      <c r="K159" s="6"/>
      <c r="L159" s="6"/>
      <c r="M159" s="6"/>
      <c r="N159" s="6"/>
      <c r="O159" s="6"/>
      <c r="P159" s="6"/>
      <c r="Q159" s="6"/>
      <c r="R159" s="8">
        <v>23.46</v>
      </c>
      <c r="S159" s="8">
        <v>23.46</v>
      </c>
      <c r="T159" s="6"/>
      <c r="U159" s="6"/>
      <c r="V159" s="6"/>
      <c r="W159" s="6"/>
      <c r="X159" s="6"/>
      <c r="Y159" s="6"/>
      <c r="Z159" s="8">
        <v>46</v>
      </c>
      <c r="AA159" s="8">
        <v>46</v>
      </c>
      <c r="AB159" s="6"/>
      <c r="AC159" s="6"/>
      <c r="AD159" s="6"/>
      <c r="AE159" s="6"/>
      <c r="AF159" s="6"/>
      <c r="AG159" s="6"/>
      <c r="AH159" s="6"/>
      <c r="AI159" s="6"/>
      <c r="AJ159" s="8">
        <v>1</v>
      </c>
      <c r="AK159" s="8">
        <v>25</v>
      </c>
      <c r="AL159" s="6"/>
      <c r="AM159" s="8">
        <v>0</v>
      </c>
      <c r="AN159" s="6"/>
      <c r="AO159" s="6"/>
      <c r="AP159" s="8">
        <v>26</v>
      </c>
      <c r="AQ159" s="6"/>
      <c r="AR159" s="6"/>
      <c r="AS159" s="6"/>
      <c r="AT159" s="6"/>
      <c r="AU159" s="6"/>
      <c r="AV159" s="6"/>
      <c r="AW159" s="6"/>
      <c r="AX159" s="6"/>
      <c r="AY159" s="6"/>
      <c r="AZ159" s="6"/>
      <c r="BA159" s="8">
        <v>50.23</v>
      </c>
      <c r="BB159" s="8">
        <v>50.23</v>
      </c>
      <c r="BC159" s="6"/>
      <c r="BD159" s="6"/>
      <c r="BE159" s="6"/>
      <c r="BF159" s="6"/>
      <c r="BG159" s="6"/>
      <c r="BH159" s="6"/>
      <c r="BI159" s="6"/>
      <c r="BJ159" s="6"/>
      <c r="BK159" s="6"/>
      <c r="BL159" s="8">
        <v>145.69</v>
      </c>
      <c r="BM159" s="6"/>
      <c r="BN159" s="6"/>
      <c r="BO159" s="6"/>
      <c r="BP159" s="6"/>
      <c r="BQ159" s="6"/>
      <c r="BR159" s="6"/>
      <c r="BS159" s="6"/>
      <c r="BT159" s="6"/>
      <c r="BU159" s="6"/>
      <c r="BV159" s="6"/>
      <c r="BW159" s="6"/>
      <c r="BX159" s="6"/>
      <c r="BY159" s="6"/>
      <c r="BZ159" s="6"/>
      <c r="CA159" s="6"/>
      <c r="CB159" s="6"/>
      <c r="CC159" s="6"/>
      <c r="CD159" s="6"/>
      <c r="CE159" s="6"/>
      <c r="CF159" s="6"/>
      <c r="CG159" s="9">
        <v>145.69</v>
      </c>
    </row>
    <row r="160" spans="1:85" x14ac:dyDescent="0.3">
      <c r="A160" s="3" t="str">
        <f t="shared" si="4"/>
        <v>NON ADDCross-Foundation ActivitiesNavigating the New Arctic (NNA) - TotalTotal</v>
      </c>
      <c r="B160" s="6" t="s">
        <v>223</v>
      </c>
      <c r="C160" s="6" t="s">
        <v>224</v>
      </c>
      <c r="D160" s="6" t="s">
        <v>239</v>
      </c>
      <c r="E160" s="6" t="s">
        <v>24</v>
      </c>
      <c r="F160" s="6"/>
      <c r="G160" s="6"/>
      <c r="H160" s="6"/>
      <c r="I160" s="6"/>
      <c r="J160" s="6"/>
      <c r="K160" s="8">
        <v>2</v>
      </c>
      <c r="L160" s="8">
        <v>2</v>
      </c>
      <c r="M160" s="6"/>
      <c r="N160" s="6"/>
      <c r="O160" s="6"/>
      <c r="P160" s="6"/>
      <c r="Q160" s="6"/>
      <c r="R160" s="6"/>
      <c r="S160" s="6"/>
      <c r="T160" s="6"/>
      <c r="U160" s="6"/>
      <c r="V160" s="6"/>
      <c r="W160" s="6"/>
      <c r="X160" s="6"/>
      <c r="Y160" s="6"/>
      <c r="Z160" s="8">
        <v>0</v>
      </c>
      <c r="AA160" s="8">
        <v>0</v>
      </c>
      <c r="AB160" s="6"/>
      <c r="AC160" s="6"/>
      <c r="AD160" s="6"/>
      <c r="AE160" s="8">
        <v>1</v>
      </c>
      <c r="AF160" s="6"/>
      <c r="AG160" s="8">
        <v>30</v>
      </c>
      <c r="AH160" s="8">
        <v>31</v>
      </c>
      <c r="AI160" s="6"/>
      <c r="AJ160" s="6"/>
      <c r="AK160" s="6"/>
      <c r="AL160" s="6"/>
      <c r="AM160" s="6"/>
      <c r="AN160" s="6"/>
      <c r="AO160" s="6"/>
      <c r="AP160" s="6"/>
      <c r="AQ160" s="6"/>
      <c r="AR160" s="6"/>
      <c r="AS160" s="6"/>
      <c r="AT160" s="6"/>
      <c r="AU160" s="8">
        <v>0.5</v>
      </c>
      <c r="AV160" s="8">
        <v>0.5</v>
      </c>
      <c r="AW160" s="6"/>
      <c r="AX160" s="6"/>
      <c r="AY160" s="6"/>
      <c r="AZ160" s="6"/>
      <c r="BA160" s="6"/>
      <c r="BB160" s="6"/>
      <c r="BC160" s="8">
        <v>0.5</v>
      </c>
      <c r="BD160" s="8">
        <v>0.5</v>
      </c>
      <c r="BE160" s="6"/>
      <c r="BF160" s="6"/>
      <c r="BG160" s="6"/>
      <c r="BH160" s="6"/>
      <c r="BI160" s="6"/>
      <c r="BJ160" s="6"/>
      <c r="BK160" s="6"/>
      <c r="BL160" s="8">
        <v>34</v>
      </c>
      <c r="BM160" s="6"/>
      <c r="BN160" s="6"/>
      <c r="BO160" s="6"/>
      <c r="BP160" s="6"/>
      <c r="BQ160" s="8">
        <v>1.2</v>
      </c>
      <c r="BR160" s="8">
        <v>1.2</v>
      </c>
      <c r="BS160" s="8">
        <v>1.2</v>
      </c>
      <c r="BT160" s="6"/>
      <c r="BU160" s="6"/>
      <c r="BV160" s="6"/>
      <c r="BW160" s="6"/>
      <c r="BX160" s="6"/>
      <c r="BY160" s="6"/>
      <c r="BZ160" s="6"/>
      <c r="CA160" s="6"/>
      <c r="CB160" s="6"/>
      <c r="CC160" s="6"/>
      <c r="CD160" s="6"/>
      <c r="CE160" s="6"/>
      <c r="CF160" s="6"/>
      <c r="CG160" s="9">
        <v>35.200000000000003</v>
      </c>
    </row>
    <row r="161" spans="1:85" x14ac:dyDescent="0.3">
      <c r="A161" s="3" t="str">
        <f t="shared" si="4"/>
        <v>NON ADDCross-Foundation ActivitiesQIS Research CentersTotal</v>
      </c>
      <c r="B161" s="6" t="s">
        <v>223</v>
      </c>
      <c r="C161" s="6" t="s">
        <v>224</v>
      </c>
      <c r="D161" s="6" t="s">
        <v>316</v>
      </c>
      <c r="E161" s="6" t="s">
        <v>24</v>
      </c>
      <c r="F161" s="6"/>
      <c r="G161" s="6"/>
      <c r="H161" s="6"/>
      <c r="I161" s="6"/>
      <c r="J161" s="6"/>
      <c r="K161" s="6"/>
      <c r="L161" s="6"/>
      <c r="M161" s="6"/>
      <c r="N161" s="6"/>
      <c r="O161" s="6"/>
      <c r="P161" s="6"/>
      <c r="Q161" s="6"/>
      <c r="R161" s="6"/>
      <c r="S161" s="6"/>
      <c r="T161" s="6"/>
      <c r="U161" s="6"/>
      <c r="V161" s="6"/>
      <c r="W161" s="6"/>
      <c r="X161" s="6"/>
      <c r="Y161" s="6"/>
      <c r="Z161" s="8">
        <v>6</v>
      </c>
      <c r="AA161" s="8">
        <v>6</v>
      </c>
      <c r="AB161" s="6"/>
      <c r="AC161" s="6"/>
      <c r="AD161" s="6"/>
      <c r="AE161" s="6"/>
      <c r="AF161" s="6"/>
      <c r="AG161" s="6"/>
      <c r="AH161" s="6"/>
      <c r="AI161" s="6"/>
      <c r="AJ161" s="6"/>
      <c r="AK161" s="6"/>
      <c r="AL161" s="6"/>
      <c r="AM161" s="8">
        <v>43.8</v>
      </c>
      <c r="AN161" s="6"/>
      <c r="AO161" s="6"/>
      <c r="AP161" s="8">
        <v>43.8</v>
      </c>
      <c r="AQ161" s="6"/>
      <c r="AR161" s="6"/>
      <c r="AS161" s="6"/>
      <c r="AT161" s="6"/>
      <c r="AU161" s="6"/>
      <c r="AV161" s="6"/>
      <c r="AW161" s="6"/>
      <c r="AX161" s="6"/>
      <c r="AY161" s="6"/>
      <c r="AZ161" s="6"/>
      <c r="BA161" s="6"/>
      <c r="BB161" s="6"/>
      <c r="BC161" s="6"/>
      <c r="BD161" s="6"/>
      <c r="BE161" s="8">
        <v>3.75</v>
      </c>
      <c r="BF161" s="6"/>
      <c r="BG161" s="8">
        <v>3.75</v>
      </c>
      <c r="BH161" s="6"/>
      <c r="BI161" s="6"/>
      <c r="BJ161" s="6"/>
      <c r="BK161" s="6"/>
      <c r="BL161" s="8">
        <v>53.55</v>
      </c>
      <c r="BM161" s="6"/>
      <c r="BN161" s="6"/>
      <c r="BO161" s="6"/>
      <c r="BP161" s="6"/>
      <c r="BQ161" s="6"/>
      <c r="BR161" s="6"/>
      <c r="BS161" s="6"/>
      <c r="BT161" s="6"/>
      <c r="BU161" s="6"/>
      <c r="BV161" s="6"/>
      <c r="BW161" s="6"/>
      <c r="BX161" s="6"/>
      <c r="BY161" s="6"/>
      <c r="BZ161" s="6"/>
      <c r="CA161" s="6"/>
      <c r="CB161" s="6"/>
      <c r="CC161" s="6"/>
      <c r="CD161" s="6"/>
      <c r="CE161" s="6"/>
      <c r="CF161" s="6"/>
      <c r="CG161" s="9">
        <v>53.55</v>
      </c>
    </row>
    <row r="162" spans="1:85" x14ac:dyDescent="0.3">
      <c r="A162" s="3" t="str">
        <f t="shared" si="4"/>
        <v>NON ADDCross-Foundation ActivitiesRisk and ResilienceTotal</v>
      </c>
      <c r="B162" s="6" t="s">
        <v>223</v>
      </c>
      <c r="C162" s="6" t="s">
        <v>224</v>
      </c>
      <c r="D162" s="6" t="s">
        <v>241</v>
      </c>
      <c r="E162" s="6" t="s">
        <v>24</v>
      </c>
      <c r="F162" s="6"/>
      <c r="G162" s="6"/>
      <c r="H162" s="6"/>
      <c r="I162" s="6"/>
      <c r="J162" s="6"/>
      <c r="K162" s="6"/>
      <c r="L162" s="6"/>
      <c r="M162" s="6"/>
      <c r="N162" s="6"/>
      <c r="O162" s="6"/>
      <c r="P162" s="6"/>
      <c r="Q162" s="6"/>
      <c r="R162" s="8">
        <v>0</v>
      </c>
      <c r="S162" s="8">
        <v>0</v>
      </c>
      <c r="T162" s="6"/>
      <c r="U162" s="6"/>
      <c r="V162" s="6"/>
      <c r="W162" s="6"/>
      <c r="X162" s="8">
        <v>0</v>
      </c>
      <c r="Y162" s="6"/>
      <c r="Z162" s="8">
        <v>0</v>
      </c>
      <c r="AA162" s="8">
        <v>0</v>
      </c>
      <c r="AB162" s="6"/>
      <c r="AC162" s="6"/>
      <c r="AD162" s="6"/>
      <c r="AE162" s="8">
        <v>0</v>
      </c>
      <c r="AF162" s="8">
        <v>0</v>
      </c>
      <c r="AG162" s="6"/>
      <c r="AH162" s="8">
        <v>0</v>
      </c>
      <c r="AI162" s="8">
        <v>0</v>
      </c>
      <c r="AJ162" s="8">
        <v>0</v>
      </c>
      <c r="AK162" s="6"/>
      <c r="AL162" s="8">
        <v>0.5</v>
      </c>
      <c r="AM162" s="6"/>
      <c r="AN162" s="6"/>
      <c r="AO162" s="6"/>
      <c r="AP162" s="8">
        <v>0.5</v>
      </c>
      <c r="AQ162" s="8">
        <v>0</v>
      </c>
      <c r="AR162" s="6"/>
      <c r="AS162" s="6"/>
      <c r="AT162" s="8">
        <v>0</v>
      </c>
      <c r="AU162" s="8">
        <v>0</v>
      </c>
      <c r="AV162" s="8">
        <v>0</v>
      </c>
      <c r="AW162" s="6"/>
      <c r="AX162" s="6"/>
      <c r="AY162" s="6"/>
      <c r="AZ162" s="6"/>
      <c r="BA162" s="6"/>
      <c r="BB162" s="6"/>
      <c r="BC162" s="6"/>
      <c r="BD162" s="6"/>
      <c r="BE162" s="6"/>
      <c r="BF162" s="6"/>
      <c r="BG162" s="6"/>
      <c r="BH162" s="6"/>
      <c r="BI162" s="6"/>
      <c r="BJ162" s="6"/>
      <c r="BK162" s="6"/>
      <c r="BL162" s="8">
        <v>0.5</v>
      </c>
      <c r="BM162" s="6"/>
      <c r="BN162" s="6"/>
      <c r="BO162" s="6"/>
      <c r="BP162" s="6"/>
      <c r="BQ162" s="6"/>
      <c r="BR162" s="6"/>
      <c r="BS162" s="6"/>
      <c r="BT162" s="6"/>
      <c r="BU162" s="6"/>
      <c r="BV162" s="6"/>
      <c r="BW162" s="6"/>
      <c r="BX162" s="6"/>
      <c r="BY162" s="6"/>
      <c r="BZ162" s="6"/>
      <c r="CA162" s="6"/>
      <c r="CB162" s="6"/>
      <c r="CC162" s="6"/>
      <c r="CD162" s="6"/>
      <c r="CE162" s="6"/>
      <c r="CF162" s="6"/>
      <c r="CG162" s="9">
        <v>0.5</v>
      </c>
    </row>
    <row r="163" spans="1:85" x14ac:dyDescent="0.3">
      <c r="A163" s="3" t="str">
        <f t="shared" si="4"/>
        <v>NON ADDCross-Foundation ActivitiesSecure and Trustworthy Cyberspace (SaTC)Total</v>
      </c>
      <c r="B163" s="6" t="s">
        <v>223</v>
      </c>
      <c r="C163" s="6" t="s">
        <v>224</v>
      </c>
      <c r="D163" s="6" t="s">
        <v>242</v>
      </c>
      <c r="E163" s="6" t="s">
        <v>24</v>
      </c>
      <c r="F163" s="6"/>
      <c r="G163" s="6"/>
      <c r="H163" s="6"/>
      <c r="I163" s="6"/>
      <c r="J163" s="6"/>
      <c r="K163" s="6"/>
      <c r="L163" s="6"/>
      <c r="M163" s="6"/>
      <c r="N163" s="6"/>
      <c r="O163" s="6"/>
      <c r="P163" s="6"/>
      <c r="Q163" s="6"/>
      <c r="R163" s="8">
        <v>75.81</v>
      </c>
      <c r="S163" s="8">
        <v>75.81</v>
      </c>
      <c r="T163" s="6"/>
      <c r="U163" s="6"/>
      <c r="V163" s="6"/>
      <c r="W163" s="6"/>
      <c r="X163" s="6"/>
      <c r="Y163" s="6"/>
      <c r="Z163" s="8">
        <v>3.25</v>
      </c>
      <c r="AA163" s="8">
        <v>3.25</v>
      </c>
      <c r="AB163" s="6"/>
      <c r="AC163" s="6"/>
      <c r="AD163" s="6"/>
      <c r="AE163" s="6"/>
      <c r="AF163" s="6"/>
      <c r="AG163" s="6"/>
      <c r="AH163" s="6"/>
      <c r="AI163" s="6"/>
      <c r="AJ163" s="6"/>
      <c r="AK163" s="6"/>
      <c r="AL163" s="8">
        <v>1.25</v>
      </c>
      <c r="AM163" s="6"/>
      <c r="AN163" s="6"/>
      <c r="AO163" s="6"/>
      <c r="AP163" s="8">
        <v>1.25</v>
      </c>
      <c r="AQ163" s="8">
        <v>0</v>
      </c>
      <c r="AR163" s="6"/>
      <c r="AS163" s="8">
        <v>0</v>
      </c>
      <c r="AT163" s="8">
        <v>0</v>
      </c>
      <c r="AU163" s="8">
        <v>4</v>
      </c>
      <c r="AV163" s="8">
        <v>4</v>
      </c>
      <c r="AW163" s="6"/>
      <c r="AX163" s="6"/>
      <c r="AY163" s="6"/>
      <c r="AZ163" s="6"/>
      <c r="BA163" s="6"/>
      <c r="BB163" s="6"/>
      <c r="BC163" s="6"/>
      <c r="BD163" s="6"/>
      <c r="BE163" s="6"/>
      <c r="BF163" s="6"/>
      <c r="BG163" s="6"/>
      <c r="BH163" s="6"/>
      <c r="BI163" s="6"/>
      <c r="BJ163" s="6"/>
      <c r="BK163" s="6"/>
      <c r="BL163" s="8">
        <v>84.31</v>
      </c>
      <c r="BM163" s="8">
        <v>75</v>
      </c>
      <c r="BN163" s="6"/>
      <c r="BO163" s="6"/>
      <c r="BP163" s="6"/>
      <c r="BQ163" s="6"/>
      <c r="BR163" s="8">
        <v>75</v>
      </c>
      <c r="BS163" s="8">
        <v>75</v>
      </c>
      <c r="BT163" s="6"/>
      <c r="BU163" s="6"/>
      <c r="BV163" s="6"/>
      <c r="BW163" s="6"/>
      <c r="BX163" s="6"/>
      <c r="BY163" s="6"/>
      <c r="BZ163" s="6"/>
      <c r="CA163" s="6"/>
      <c r="CB163" s="6"/>
      <c r="CC163" s="6"/>
      <c r="CD163" s="6"/>
      <c r="CE163" s="6"/>
      <c r="CF163" s="6"/>
      <c r="CG163" s="9">
        <v>159.31</v>
      </c>
    </row>
    <row r="164" spans="1:85" x14ac:dyDescent="0.3">
      <c r="A164" s="3" t="str">
        <f t="shared" si="4"/>
        <v>NON ADDCross-Foundation ActivitiesThe Future of Work at the Human-Technology Frontier (FW-HTF) - TotalTotal</v>
      </c>
      <c r="B164" s="6" t="s">
        <v>223</v>
      </c>
      <c r="C164" s="6" t="s">
        <v>224</v>
      </c>
      <c r="D164" s="6" t="s">
        <v>243</v>
      </c>
      <c r="E164" s="6" t="s">
        <v>24</v>
      </c>
      <c r="F164" s="6"/>
      <c r="G164" s="6"/>
      <c r="H164" s="6"/>
      <c r="I164" s="6"/>
      <c r="J164" s="6"/>
      <c r="K164" s="6"/>
      <c r="L164" s="6"/>
      <c r="M164" s="6"/>
      <c r="N164" s="6"/>
      <c r="O164" s="6"/>
      <c r="P164" s="6"/>
      <c r="Q164" s="6"/>
      <c r="R164" s="8">
        <v>83.5</v>
      </c>
      <c r="S164" s="8">
        <v>83.5</v>
      </c>
      <c r="T164" s="6"/>
      <c r="U164" s="6"/>
      <c r="V164" s="6"/>
      <c r="W164" s="6"/>
      <c r="X164" s="6"/>
      <c r="Y164" s="6"/>
      <c r="Z164" s="8">
        <v>48</v>
      </c>
      <c r="AA164" s="8">
        <v>48</v>
      </c>
      <c r="AB164" s="6"/>
      <c r="AC164" s="6"/>
      <c r="AD164" s="6"/>
      <c r="AE164" s="6"/>
      <c r="AF164" s="6"/>
      <c r="AG164" s="6"/>
      <c r="AH164" s="6"/>
      <c r="AI164" s="6"/>
      <c r="AJ164" s="6"/>
      <c r="AK164" s="6"/>
      <c r="AL164" s="6"/>
      <c r="AM164" s="6"/>
      <c r="AN164" s="6"/>
      <c r="AO164" s="8">
        <v>0</v>
      </c>
      <c r="AP164" s="8">
        <v>0</v>
      </c>
      <c r="AQ164" s="6"/>
      <c r="AR164" s="6"/>
      <c r="AS164" s="6"/>
      <c r="AT164" s="6"/>
      <c r="AU164" s="8">
        <v>11.5</v>
      </c>
      <c r="AV164" s="8">
        <v>11.5</v>
      </c>
      <c r="AW164" s="6"/>
      <c r="AX164" s="6"/>
      <c r="AY164" s="6"/>
      <c r="AZ164" s="6"/>
      <c r="BA164" s="8">
        <v>22.5</v>
      </c>
      <c r="BB164" s="8">
        <v>22.5</v>
      </c>
      <c r="BC164" s="6"/>
      <c r="BD164" s="6"/>
      <c r="BE164" s="6"/>
      <c r="BF164" s="8">
        <v>0</v>
      </c>
      <c r="BG164" s="8">
        <v>0</v>
      </c>
      <c r="BH164" s="6"/>
      <c r="BI164" s="6"/>
      <c r="BJ164" s="6"/>
      <c r="BK164" s="6"/>
      <c r="BL164" s="8">
        <v>165.5</v>
      </c>
      <c r="BM164" s="6"/>
      <c r="BN164" s="6"/>
      <c r="BO164" s="6"/>
      <c r="BP164" s="6"/>
      <c r="BQ164" s="8">
        <v>10.3</v>
      </c>
      <c r="BR164" s="8">
        <v>10.3</v>
      </c>
      <c r="BS164" s="8">
        <v>10.3</v>
      </c>
      <c r="BT164" s="6"/>
      <c r="BU164" s="6"/>
      <c r="BV164" s="6"/>
      <c r="BW164" s="6"/>
      <c r="BX164" s="6"/>
      <c r="BY164" s="6"/>
      <c r="BZ164" s="6"/>
      <c r="CA164" s="6"/>
      <c r="CB164" s="6"/>
      <c r="CC164" s="6"/>
      <c r="CD164" s="6"/>
      <c r="CE164" s="6"/>
      <c r="CF164" s="6"/>
      <c r="CG164" s="9">
        <v>175.8</v>
      </c>
    </row>
    <row r="165" spans="1:85" x14ac:dyDescent="0.3">
      <c r="A165" s="3" t="str">
        <f t="shared" si="4"/>
        <v>NON ADDCross-Foundation ActivitiesUnderstanding the Rules of Life (URoL) - TotalTotal</v>
      </c>
      <c r="B165" s="6" t="s">
        <v>223</v>
      </c>
      <c r="C165" s="6" t="s">
        <v>224</v>
      </c>
      <c r="D165" s="6" t="s">
        <v>246</v>
      </c>
      <c r="E165" s="6" t="s">
        <v>24</v>
      </c>
      <c r="F165" s="6"/>
      <c r="G165" s="6"/>
      <c r="H165" s="6"/>
      <c r="I165" s="6"/>
      <c r="J165" s="6"/>
      <c r="K165" s="8">
        <v>50</v>
      </c>
      <c r="L165" s="8">
        <v>50</v>
      </c>
      <c r="M165" s="6"/>
      <c r="N165" s="6"/>
      <c r="O165" s="6"/>
      <c r="P165" s="6"/>
      <c r="Q165" s="6"/>
      <c r="R165" s="8">
        <v>6</v>
      </c>
      <c r="S165" s="8">
        <v>6</v>
      </c>
      <c r="T165" s="6"/>
      <c r="U165" s="6"/>
      <c r="V165" s="6"/>
      <c r="W165" s="6"/>
      <c r="X165" s="6"/>
      <c r="Y165" s="6"/>
      <c r="Z165" s="8">
        <v>3</v>
      </c>
      <c r="AA165" s="8">
        <v>3</v>
      </c>
      <c r="AB165" s="6"/>
      <c r="AC165" s="6"/>
      <c r="AD165" s="8">
        <v>4</v>
      </c>
      <c r="AE165" s="6"/>
      <c r="AF165" s="6"/>
      <c r="AG165" s="8">
        <v>0</v>
      </c>
      <c r="AH165" s="8">
        <v>4</v>
      </c>
      <c r="AI165" s="6"/>
      <c r="AJ165" s="8">
        <v>10</v>
      </c>
      <c r="AK165" s="8">
        <v>0</v>
      </c>
      <c r="AL165" s="8">
        <v>5</v>
      </c>
      <c r="AM165" s="6"/>
      <c r="AN165" s="8">
        <v>1</v>
      </c>
      <c r="AO165" s="8">
        <v>0</v>
      </c>
      <c r="AP165" s="8">
        <v>16</v>
      </c>
      <c r="AQ165" s="6"/>
      <c r="AR165" s="6"/>
      <c r="AS165" s="6"/>
      <c r="AT165" s="6"/>
      <c r="AU165" s="8">
        <v>4.5</v>
      </c>
      <c r="AV165" s="8">
        <v>4.5</v>
      </c>
      <c r="AW165" s="6"/>
      <c r="AX165" s="6"/>
      <c r="AY165" s="6"/>
      <c r="AZ165" s="6"/>
      <c r="BA165" s="8">
        <v>10</v>
      </c>
      <c r="BB165" s="8">
        <v>10</v>
      </c>
      <c r="BC165" s="6"/>
      <c r="BD165" s="6"/>
      <c r="BE165" s="6"/>
      <c r="BF165" s="6"/>
      <c r="BG165" s="6"/>
      <c r="BH165" s="6"/>
      <c r="BI165" s="6"/>
      <c r="BJ165" s="6"/>
      <c r="BK165" s="6"/>
      <c r="BL165" s="8">
        <v>93.5</v>
      </c>
      <c r="BM165" s="6"/>
      <c r="BN165" s="6"/>
      <c r="BO165" s="6"/>
      <c r="BP165" s="6"/>
      <c r="BQ165" s="6"/>
      <c r="BR165" s="6"/>
      <c r="BS165" s="6"/>
      <c r="BT165" s="6"/>
      <c r="BU165" s="6"/>
      <c r="BV165" s="6"/>
      <c r="BW165" s="6"/>
      <c r="BX165" s="6"/>
      <c r="BY165" s="6"/>
      <c r="BZ165" s="6"/>
      <c r="CA165" s="6"/>
      <c r="CB165" s="6"/>
      <c r="CC165" s="6"/>
      <c r="CD165" s="6"/>
      <c r="CE165" s="6"/>
      <c r="CF165" s="6"/>
      <c r="CG165" s="9">
        <v>93.5</v>
      </c>
    </row>
    <row r="166" spans="1:85" x14ac:dyDescent="0.3">
      <c r="A166" s="3" t="str">
        <f t="shared" si="4"/>
        <v>NON ADDCross-Foundation ActivitiesWindows on the Universe (WoU) - TotalTotal</v>
      </c>
      <c r="B166" s="6" t="s">
        <v>223</v>
      </c>
      <c r="C166" s="6" t="s">
        <v>224</v>
      </c>
      <c r="D166" s="6" t="s">
        <v>247</v>
      </c>
      <c r="E166" s="6" t="s">
        <v>24</v>
      </c>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8">
        <v>5.85</v>
      </c>
      <c r="AF166" s="6"/>
      <c r="AG166" s="6"/>
      <c r="AH166" s="8">
        <v>5.85</v>
      </c>
      <c r="AI166" s="8">
        <v>5</v>
      </c>
      <c r="AJ166" s="6"/>
      <c r="AK166" s="6"/>
      <c r="AL166" s="6"/>
      <c r="AM166" s="8">
        <v>30</v>
      </c>
      <c r="AN166" s="8">
        <v>21</v>
      </c>
      <c r="AO166" s="8">
        <v>0</v>
      </c>
      <c r="AP166" s="8">
        <v>56</v>
      </c>
      <c r="AQ166" s="6"/>
      <c r="AR166" s="6"/>
      <c r="AS166" s="6"/>
      <c r="AT166" s="6"/>
      <c r="AU166" s="6"/>
      <c r="AV166" s="6"/>
      <c r="AW166" s="6"/>
      <c r="AX166" s="6"/>
      <c r="AY166" s="6"/>
      <c r="AZ166" s="6"/>
      <c r="BA166" s="6"/>
      <c r="BB166" s="6"/>
      <c r="BC166" s="6"/>
      <c r="BD166" s="6"/>
      <c r="BE166" s="6"/>
      <c r="BF166" s="6"/>
      <c r="BG166" s="6"/>
      <c r="BH166" s="6"/>
      <c r="BI166" s="6"/>
      <c r="BJ166" s="6"/>
      <c r="BK166" s="6"/>
      <c r="BL166" s="8">
        <v>61.85</v>
      </c>
      <c r="BM166" s="6"/>
      <c r="BN166" s="6"/>
      <c r="BO166" s="6"/>
      <c r="BP166" s="6"/>
      <c r="BQ166" s="6"/>
      <c r="BR166" s="6"/>
      <c r="BS166" s="6"/>
      <c r="BT166" s="6"/>
      <c r="BU166" s="6"/>
      <c r="BV166" s="6"/>
      <c r="BW166" s="6"/>
      <c r="BX166" s="6"/>
      <c r="BY166" s="6"/>
      <c r="BZ166" s="6"/>
      <c r="CA166" s="6"/>
      <c r="CB166" s="6"/>
      <c r="CC166" s="6"/>
      <c r="CD166" s="6"/>
      <c r="CE166" s="6"/>
      <c r="CF166" s="6"/>
      <c r="CG166" s="9">
        <v>61.85</v>
      </c>
    </row>
    <row r="167" spans="1:85" x14ac:dyDescent="0.3">
      <c r="A167" s="3" t="str">
        <f t="shared" si="4"/>
        <v>NON ADDHomeland Security ActivitiesTotalTotal</v>
      </c>
      <c r="B167" s="6" t="s">
        <v>223</v>
      </c>
      <c r="C167" s="6" t="s">
        <v>248</v>
      </c>
      <c r="D167" s="6" t="s">
        <v>24</v>
      </c>
      <c r="E167" s="6" t="s">
        <v>24</v>
      </c>
      <c r="F167" s="6"/>
      <c r="G167" s="6"/>
      <c r="H167" s="6"/>
      <c r="I167" s="6"/>
      <c r="J167" s="6"/>
      <c r="K167" s="8">
        <v>16</v>
      </c>
      <c r="L167" s="8">
        <v>16</v>
      </c>
      <c r="M167" s="6"/>
      <c r="N167" s="6"/>
      <c r="O167" s="6"/>
      <c r="P167" s="6"/>
      <c r="Q167" s="6"/>
      <c r="R167" s="8">
        <v>188.67</v>
      </c>
      <c r="S167" s="8">
        <v>188.67</v>
      </c>
      <c r="T167" s="6"/>
      <c r="U167" s="6"/>
      <c r="V167" s="6"/>
      <c r="W167" s="6"/>
      <c r="X167" s="6"/>
      <c r="Y167" s="6"/>
      <c r="Z167" s="8">
        <v>151.13</v>
      </c>
      <c r="AA167" s="8">
        <v>151.13</v>
      </c>
      <c r="AB167" s="6"/>
      <c r="AC167" s="6"/>
      <c r="AD167" s="6"/>
      <c r="AE167" s="8">
        <v>3.31</v>
      </c>
      <c r="AF167" s="6"/>
      <c r="AG167" s="6"/>
      <c r="AH167" s="8">
        <v>3.31</v>
      </c>
      <c r="AI167" s="6"/>
      <c r="AJ167" s="6"/>
      <c r="AK167" s="6"/>
      <c r="AL167" s="8">
        <v>1.75</v>
      </c>
      <c r="AM167" s="6"/>
      <c r="AN167" s="6"/>
      <c r="AO167" s="6"/>
      <c r="AP167" s="8">
        <v>1.75</v>
      </c>
      <c r="AQ167" s="8">
        <v>0</v>
      </c>
      <c r="AR167" s="6"/>
      <c r="AS167" s="8">
        <v>0</v>
      </c>
      <c r="AT167" s="8">
        <v>0</v>
      </c>
      <c r="AU167" s="8">
        <v>7.5</v>
      </c>
      <c r="AV167" s="8">
        <v>7.5</v>
      </c>
      <c r="AW167" s="6"/>
      <c r="AX167" s="6"/>
      <c r="AY167" s="6"/>
      <c r="AZ167" s="6"/>
      <c r="BA167" s="8">
        <v>24.85</v>
      </c>
      <c r="BB167" s="8">
        <v>24.85</v>
      </c>
      <c r="BC167" s="6"/>
      <c r="BD167" s="6"/>
      <c r="BE167" s="6"/>
      <c r="BF167" s="8">
        <v>5.86</v>
      </c>
      <c r="BG167" s="8">
        <v>5.86</v>
      </c>
      <c r="BH167" s="6"/>
      <c r="BI167" s="6"/>
      <c r="BJ167" s="6"/>
      <c r="BK167" s="6"/>
      <c r="BL167" s="8">
        <v>399.07</v>
      </c>
      <c r="BM167" s="8">
        <v>75</v>
      </c>
      <c r="BN167" s="6"/>
      <c r="BO167" s="6"/>
      <c r="BP167" s="6"/>
      <c r="BQ167" s="8">
        <v>1</v>
      </c>
      <c r="BR167" s="8">
        <v>76</v>
      </c>
      <c r="BS167" s="8">
        <v>76</v>
      </c>
      <c r="BT167" s="6"/>
      <c r="BU167" s="6"/>
      <c r="BV167" s="6"/>
      <c r="BW167" s="6"/>
      <c r="BX167" s="8">
        <v>4.26</v>
      </c>
      <c r="BY167" s="8">
        <v>4.26</v>
      </c>
      <c r="BZ167" s="8">
        <v>4.26</v>
      </c>
      <c r="CA167" s="6"/>
      <c r="CB167" s="6"/>
      <c r="CC167" s="6"/>
      <c r="CD167" s="6"/>
      <c r="CE167" s="6"/>
      <c r="CF167" s="6"/>
      <c r="CG167" s="9">
        <v>479.33</v>
      </c>
    </row>
    <row r="168" spans="1:85" x14ac:dyDescent="0.3">
      <c r="A168" s="3" t="str">
        <f t="shared" si="4"/>
        <v>NON ADDHomeland Security ActivitiesDefending Against Catastrophic ThreatsTotal</v>
      </c>
      <c r="B168" s="6" t="s">
        <v>223</v>
      </c>
      <c r="C168" s="6" t="s">
        <v>248</v>
      </c>
      <c r="D168" s="6" t="s">
        <v>249</v>
      </c>
      <c r="E168" s="6" t="s">
        <v>24</v>
      </c>
      <c r="F168" s="6"/>
      <c r="G168" s="6"/>
      <c r="H168" s="6"/>
      <c r="I168" s="6"/>
      <c r="J168" s="6"/>
      <c r="K168" s="8">
        <v>16</v>
      </c>
      <c r="L168" s="8">
        <v>16</v>
      </c>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8">
        <v>16</v>
      </c>
      <c r="BM168" s="6"/>
      <c r="BN168" s="6"/>
      <c r="BO168" s="6"/>
      <c r="BP168" s="6"/>
      <c r="BQ168" s="6"/>
      <c r="BR168" s="6"/>
      <c r="BS168" s="6"/>
      <c r="BT168" s="6"/>
      <c r="BU168" s="6"/>
      <c r="BV168" s="6"/>
      <c r="BW168" s="6"/>
      <c r="BX168" s="6"/>
      <c r="BY168" s="6"/>
      <c r="BZ168" s="6"/>
      <c r="CA168" s="6"/>
      <c r="CB168" s="6"/>
      <c r="CC168" s="6"/>
      <c r="CD168" s="6"/>
      <c r="CE168" s="6"/>
      <c r="CF168" s="6"/>
      <c r="CG168" s="9">
        <v>16</v>
      </c>
    </row>
    <row r="169" spans="1:85" x14ac:dyDescent="0.3">
      <c r="A169" s="3" t="str">
        <f t="shared" si="4"/>
        <v>NON ADDHomeland Security ActivitiesDefending Against Catastrophic ThreatsHSA-Research to Combat Bioterrorism - Microbial Genomics, Analysis &amp; Modeling</v>
      </c>
      <c r="B169" s="6" t="s">
        <v>223</v>
      </c>
      <c r="C169" s="6" t="s">
        <v>248</v>
      </c>
      <c r="D169" s="6" t="s">
        <v>249</v>
      </c>
      <c r="E169" s="6" t="s">
        <v>250</v>
      </c>
      <c r="F169" s="6"/>
      <c r="G169" s="6"/>
      <c r="H169" s="6"/>
      <c r="I169" s="6"/>
      <c r="J169" s="6"/>
      <c r="K169" s="8">
        <v>16</v>
      </c>
      <c r="L169" s="8">
        <v>16</v>
      </c>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8">
        <v>16</v>
      </c>
      <c r="BM169" s="6"/>
      <c r="BN169" s="6"/>
      <c r="BO169" s="6"/>
      <c r="BP169" s="6"/>
      <c r="BQ169" s="6"/>
      <c r="BR169" s="6"/>
      <c r="BS169" s="6"/>
      <c r="BT169" s="6"/>
      <c r="BU169" s="6"/>
      <c r="BV169" s="6"/>
      <c r="BW169" s="6"/>
      <c r="BX169" s="6"/>
      <c r="BY169" s="6"/>
      <c r="BZ169" s="6"/>
      <c r="CA169" s="6"/>
      <c r="CB169" s="6"/>
      <c r="CC169" s="6"/>
      <c r="CD169" s="6"/>
      <c r="CE169" s="6"/>
      <c r="CF169" s="6"/>
      <c r="CG169" s="9">
        <v>16</v>
      </c>
    </row>
    <row r="170" spans="1:85" x14ac:dyDescent="0.3">
      <c r="A170" s="3" t="str">
        <f t="shared" si="4"/>
        <v>NON ADDHomeland Security ActivitiesProtecting Critical Infrastructure &amp; Key AssetsTotal</v>
      </c>
      <c r="B170" s="6" t="s">
        <v>223</v>
      </c>
      <c r="C170" s="6" t="s">
        <v>248</v>
      </c>
      <c r="D170" s="6" t="s">
        <v>251</v>
      </c>
      <c r="E170" s="6" t="s">
        <v>24</v>
      </c>
      <c r="F170" s="6"/>
      <c r="G170" s="6"/>
      <c r="H170" s="6"/>
      <c r="I170" s="6"/>
      <c r="J170" s="6"/>
      <c r="K170" s="6"/>
      <c r="L170" s="6"/>
      <c r="M170" s="6"/>
      <c r="N170" s="6"/>
      <c r="O170" s="6"/>
      <c r="P170" s="6"/>
      <c r="Q170" s="6"/>
      <c r="R170" s="8">
        <v>188.67</v>
      </c>
      <c r="S170" s="8">
        <v>188.67</v>
      </c>
      <c r="T170" s="6"/>
      <c r="U170" s="6"/>
      <c r="V170" s="6"/>
      <c r="W170" s="6"/>
      <c r="X170" s="6"/>
      <c r="Y170" s="6"/>
      <c r="Z170" s="8">
        <v>151.13</v>
      </c>
      <c r="AA170" s="8">
        <v>151.13</v>
      </c>
      <c r="AB170" s="6"/>
      <c r="AC170" s="6"/>
      <c r="AD170" s="6"/>
      <c r="AE170" s="8">
        <v>3.31</v>
      </c>
      <c r="AF170" s="6"/>
      <c r="AG170" s="6"/>
      <c r="AH170" s="8">
        <v>3.31</v>
      </c>
      <c r="AI170" s="6"/>
      <c r="AJ170" s="6"/>
      <c r="AK170" s="6"/>
      <c r="AL170" s="8">
        <v>1.75</v>
      </c>
      <c r="AM170" s="6"/>
      <c r="AN170" s="6"/>
      <c r="AO170" s="6"/>
      <c r="AP170" s="8">
        <v>1.75</v>
      </c>
      <c r="AQ170" s="8">
        <v>0</v>
      </c>
      <c r="AR170" s="6"/>
      <c r="AS170" s="8">
        <v>0</v>
      </c>
      <c r="AT170" s="8">
        <v>0</v>
      </c>
      <c r="AU170" s="8">
        <v>7.5</v>
      </c>
      <c r="AV170" s="8">
        <v>7.5</v>
      </c>
      <c r="AW170" s="6"/>
      <c r="AX170" s="6"/>
      <c r="AY170" s="6"/>
      <c r="AZ170" s="6"/>
      <c r="BA170" s="8">
        <v>24.85</v>
      </c>
      <c r="BB170" s="8">
        <v>24.85</v>
      </c>
      <c r="BC170" s="6"/>
      <c r="BD170" s="6"/>
      <c r="BE170" s="6"/>
      <c r="BF170" s="8">
        <v>5.86</v>
      </c>
      <c r="BG170" s="8">
        <v>5.86</v>
      </c>
      <c r="BH170" s="6"/>
      <c r="BI170" s="6"/>
      <c r="BJ170" s="6"/>
      <c r="BK170" s="6"/>
      <c r="BL170" s="8">
        <v>383.07</v>
      </c>
      <c r="BM170" s="8">
        <v>75</v>
      </c>
      <c r="BN170" s="6"/>
      <c r="BO170" s="6"/>
      <c r="BP170" s="6"/>
      <c r="BQ170" s="8">
        <v>1</v>
      </c>
      <c r="BR170" s="8">
        <v>76</v>
      </c>
      <c r="BS170" s="8">
        <v>76</v>
      </c>
      <c r="BT170" s="6"/>
      <c r="BU170" s="6"/>
      <c r="BV170" s="6"/>
      <c r="BW170" s="6"/>
      <c r="BX170" s="8">
        <v>4.26</v>
      </c>
      <c r="BY170" s="8">
        <v>4.26</v>
      </c>
      <c r="BZ170" s="8">
        <v>4.26</v>
      </c>
      <c r="CA170" s="6"/>
      <c r="CB170" s="6"/>
      <c r="CC170" s="6"/>
      <c r="CD170" s="6"/>
      <c r="CE170" s="6"/>
      <c r="CF170" s="6"/>
      <c r="CG170" s="9">
        <v>463.33</v>
      </c>
    </row>
    <row r="171" spans="1:85" x14ac:dyDescent="0.3">
      <c r="A171" s="3" t="str">
        <f t="shared" si="4"/>
        <v>NON ADDHomeland Security ActivitiesProtecting Critical Infrastructure &amp; Key AssetsHSA-Antarctic Physical Security</v>
      </c>
      <c r="B171" s="6" t="s">
        <v>223</v>
      </c>
      <c r="C171" s="6" t="s">
        <v>248</v>
      </c>
      <c r="D171" s="6" t="s">
        <v>251</v>
      </c>
      <c r="E171" s="6" t="s">
        <v>252</v>
      </c>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8">
        <v>0.3</v>
      </c>
      <c r="AF171" s="6"/>
      <c r="AG171" s="6"/>
      <c r="AH171" s="8">
        <v>0.3</v>
      </c>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8">
        <v>0.3</v>
      </c>
      <c r="BM171" s="6"/>
      <c r="BN171" s="6"/>
      <c r="BO171" s="6"/>
      <c r="BP171" s="6"/>
      <c r="BQ171" s="6"/>
      <c r="BR171" s="6"/>
      <c r="BS171" s="6"/>
      <c r="BT171" s="6"/>
      <c r="BU171" s="6"/>
      <c r="BV171" s="6"/>
      <c r="BW171" s="6"/>
      <c r="BX171" s="6"/>
      <c r="BY171" s="6"/>
      <c r="BZ171" s="6"/>
      <c r="CA171" s="6"/>
      <c r="CB171" s="6"/>
      <c r="CC171" s="6"/>
      <c r="CD171" s="6"/>
      <c r="CE171" s="6"/>
      <c r="CF171" s="6"/>
      <c r="CG171" s="9">
        <v>0.3</v>
      </c>
    </row>
    <row r="172" spans="1:85" x14ac:dyDescent="0.3">
      <c r="A172" s="3" t="str">
        <f t="shared" si="4"/>
        <v>NON ADDHomeland Security ActivitiesProtecting Critical Infrastructure &amp; Key AssetsHSA-Counterterrorism</v>
      </c>
      <c r="B172" s="6" t="s">
        <v>223</v>
      </c>
      <c r="C172" s="6" t="s">
        <v>248</v>
      </c>
      <c r="D172" s="6" t="s">
        <v>251</v>
      </c>
      <c r="E172" s="6" t="s">
        <v>253</v>
      </c>
      <c r="F172" s="6"/>
      <c r="G172" s="6"/>
      <c r="H172" s="6"/>
      <c r="I172" s="6"/>
      <c r="J172" s="6"/>
      <c r="K172" s="6"/>
      <c r="L172" s="6"/>
      <c r="M172" s="6"/>
      <c r="N172" s="6"/>
      <c r="O172" s="6"/>
      <c r="P172" s="6"/>
      <c r="Q172" s="6"/>
      <c r="R172" s="8">
        <v>22.8</v>
      </c>
      <c r="S172" s="8">
        <v>22.8</v>
      </c>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8">
        <v>22.8</v>
      </c>
      <c r="BM172" s="6"/>
      <c r="BN172" s="6"/>
      <c r="BO172" s="6"/>
      <c r="BP172" s="6"/>
      <c r="BQ172" s="6"/>
      <c r="BR172" s="6"/>
      <c r="BS172" s="6"/>
      <c r="BT172" s="6"/>
      <c r="BU172" s="6"/>
      <c r="BV172" s="6"/>
      <c r="BW172" s="6"/>
      <c r="BX172" s="6"/>
      <c r="BY172" s="6"/>
      <c r="BZ172" s="6"/>
      <c r="CA172" s="6"/>
      <c r="CB172" s="6"/>
      <c r="CC172" s="6"/>
      <c r="CD172" s="6"/>
      <c r="CE172" s="6"/>
      <c r="CF172" s="6"/>
      <c r="CG172" s="9">
        <v>22.8</v>
      </c>
    </row>
    <row r="173" spans="1:85" x14ac:dyDescent="0.3">
      <c r="A173" s="3" t="str">
        <f t="shared" si="4"/>
        <v>NON ADDHomeland Security ActivitiesProtecting Critical Infrastructure &amp; Key AssetsHSA-Cybersecurity</v>
      </c>
      <c r="B173" s="6" t="s">
        <v>223</v>
      </c>
      <c r="C173" s="6" t="s">
        <v>248</v>
      </c>
      <c r="D173" s="6" t="s">
        <v>251</v>
      </c>
      <c r="E173" s="6" t="s">
        <v>254</v>
      </c>
      <c r="F173" s="6"/>
      <c r="G173" s="6"/>
      <c r="H173" s="6"/>
      <c r="I173" s="6"/>
      <c r="J173" s="6"/>
      <c r="K173" s="6"/>
      <c r="L173" s="6"/>
      <c r="M173" s="6"/>
      <c r="N173" s="6"/>
      <c r="O173" s="6"/>
      <c r="P173" s="6"/>
      <c r="Q173" s="6"/>
      <c r="R173" s="8">
        <v>144.97</v>
      </c>
      <c r="S173" s="8">
        <v>144.97</v>
      </c>
      <c r="T173" s="6"/>
      <c r="U173" s="6"/>
      <c r="V173" s="6"/>
      <c r="W173" s="6"/>
      <c r="X173" s="6"/>
      <c r="Y173" s="6"/>
      <c r="Z173" s="8">
        <v>5.42</v>
      </c>
      <c r="AA173" s="8">
        <v>5.42</v>
      </c>
      <c r="AB173" s="6"/>
      <c r="AC173" s="6"/>
      <c r="AD173" s="6"/>
      <c r="AE173" s="6"/>
      <c r="AF173" s="6"/>
      <c r="AG173" s="6"/>
      <c r="AH173" s="6"/>
      <c r="AI173" s="6"/>
      <c r="AJ173" s="6"/>
      <c r="AK173" s="6"/>
      <c r="AL173" s="8">
        <v>1.25</v>
      </c>
      <c r="AM173" s="6"/>
      <c r="AN173" s="6"/>
      <c r="AO173" s="6"/>
      <c r="AP173" s="8">
        <v>1.25</v>
      </c>
      <c r="AQ173" s="8">
        <v>0</v>
      </c>
      <c r="AR173" s="6"/>
      <c r="AS173" s="8">
        <v>0</v>
      </c>
      <c r="AT173" s="8">
        <v>0</v>
      </c>
      <c r="AU173" s="8">
        <v>6</v>
      </c>
      <c r="AV173" s="8">
        <v>6</v>
      </c>
      <c r="AW173" s="6"/>
      <c r="AX173" s="6"/>
      <c r="AY173" s="6"/>
      <c r="AZ173" s="6"/>
      <c r="BA173" s="8">
        <v>15</v>
      </c>
      <c r="BB173" s="8">
        <v>15</v>
      </c>
      <c r="BC173" s="6"/>
      <c r="BD173" s="6"/>
      <c r="BE173" s="6"/>
      <c r="BF173" s="6"/>
      <c r="BG173" s="6"/>
      <c r="BH173" s="6"/>
      <c r="BI173" s="6"/>
      <c r="BJ173" s="6"/>
      <c r="BK173" s="6"/>
      <c r="BL173" s="8">
        <v>172.64</v>
      </c>
      <c r="BM173" s="6"/>
      <c r="BN173" s="6"/>
      <c r="BO173" s="6"/>
      <c r="BP173" s="6"/>
      <c r="BQ173" s="6"/>
      <c r="BR173" s="6"/>
      <c r="BS173" s="6"/>
      <c r="BT173" s="6"/>
      <c r="BU173" s="6"/>
      <c r="BV173" s="6"/>
      <c r="BW173" s="6"/>
      <c r="BX173" s="6"/>
      <c r="BY173" s="6"/>
      <c r="BZ173" s="6"/>
      <c r="CA173" s="6"/>
      <c r="CB173" s="6"/>
      <c r="CC173" s="6"/>
      <c r="CD173" s="6"/>
      <c r="CE173" s="6"/>
      <c r="CF173" s="6"/>
      <c r="CG173" s="9">
        <v>172.64</v>
      </c>
    </row>
    <row r="174" spans="1:85" x14ac:dyDescent="0.3">
      <c r="A174" s="3" t="str">
        <f t="shared" si="4"/>
        <v>NON ADDHomeland Security ActivitiesProtecting Critical Infrastructure &amp; Key AssetsHSA-Emergency Planning &amp; Response</v>
      </c>
      <c r="B174" s="6" t="s">
        <v>223</v>
      </c>
      <c r="C174" s="6" t="s">
        <v>248</v>
      </c>
      <c r="D174" s="6" t="s">
        <v>251</v>
      </c>
      <c r="E174" s="6" t="s">
        <v>255</v>
      </c>
      <c r="F174" s="6"/>
      <c r="G174" s="6"/>
      <c r="H174" s="6"/>
      <c r="I174" s="6"/>
      <c r="J174" s="6"/>
      <c r="K174" s="6"/>
      <c r="L174" s="6"/>
      <c r="M174" s="6"/>
      <c r="N174" s="6"/>
      <c r="O174" s="6"/>
      <c r="P174" s="6"/>
      <c r="Q174" s="6"/>
      <c r="R174" s="8">
        <v>20.9</v>
      </c>
      <c r="S174" s="8">
        <v>20.9</v>
      </c>
      <c r="T174" s="6"/>
      <c r="U174" s="6"/>
      <c r="V174" s="6"/>
      <c r="W174" s="6"/>
      <c r="X174" s="6"/>
      <c r="Y174" s="6"/>
      <c r="Z174" s="8">
        <v>23.57</v>
      </c>
      <c r="AA174" s="8">
        <v>23.57</v>
      </c>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
        <v>1.7</v>
      </c>
      <c r="BB174" s="8">
        <v>1.7</v>
      </c>
      <c r="BC174" s="6"/>
      <c r="BD174" s="6"/>
      <c r="BE174" s="6"/>
      <c r="BF174" s="6"/>
      <c r="BG174" s="6"/>
      <c r="BH174" s="6"/>
      <c r="BI174" s="6"/>
      <c r="BJ174" s="6"/>
      <c r="BK174" s="6"/>
      <c r="BL174" s="8">
        <v>46.17</v>
      </c>
      <c r="BM174" s="6"/>
      <c r="BN174" s="6"/>
      <c r="BO174" s="6"/>
      <c r="BP174" s="6"/>
      <c r="BQ174" s="6"/>
      <c r="BR174" s="6"/>
      <c r="BS174" s="6"/>
      <c r="BT174" s="6"/>
      <c r="BU174" s="6"/>
      <c r="BV174" s="6"/>
      <c r="BW174" s="6"/>
      <c r="BX174" s="6"/>
      <c r="BY174" s="6"/>
      <c r="BZ174" s="6"/>
      <c r="CA174" s="6"/>
      <c r="CB174" s="6"/>
      <c r="CC174" s="6"/>
      <c r="CD174" s="6"/>
      <c r="CE174" s="6"/>
      <c r="CF174" s="6"/>
      <c r="CG174" s="9">
        <v>46.17</v>
      </c>
    </row>
    <row r="175" spans="1:85" x14ac:dyDescent="0.3">
      <c r="A175" s="3" t="str">
        <f t="shared" si="4"/>
        <v>NON ADDHomeland Security ActivitiesProtecting Critical Infrastructure &amp; Key AssetsHSA-Energy Supply Assurance</v>
      </c>
      <c r="B175" s="6" t="s">
        <v>223</v>
      </c>
      <c r="C175" s="6" t="s">
        <v>248</v>
      </c>
      <c r="D175" s="6" t="s">
        <v>251</v>
      </c>
      <c r="E175" s="6" t="s">
        <v>256</v>
      </c>
      <c r="F175" s="6"/>
      <c r="G175" s="6"/>
      <c r="H175" s="6"/>
      <c r="I175" s="6"/>
      <c r="J175" s="6"/>
      <c r="K175" s="6"/>
      <c r="L175" s="6"/>
      <c r="M175" s="6"/>
      <c r="N175" s="6"/>
      <c r="O175" s="6"/>
      <c r="P175" s="6"/>
      <c r="Q175" s="6"/>
      <c r="R175" s="6"/>
      <c r="S175" s="6"/>
      <c r="T175" s="6"/>
      <c r="U175" s="6"/>
      <c r="V175" s="6"/>
      <c r="W175" s="6"/>
      <c r="X175" s="6"/>
      <c r="Y175" s="6"/>
      <c r="Z175" s="8">
        <v>25.71</v>
      </c>
      <c r="AA175" s="8">
        <v>25.71</v>
      </c>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
        <v>1.75</v>
      </c>
      <c r="BB175" s="8">
        <v>1.75</v>
      </c>
      <c r="BC175" s="6"/>
      <c r="BD175" s="6"/>
      <c r="BE175" s="6"/>
      <c r="BF175" s="6"/>
      <c r="BG175" s="6"/>
      <c r="BH175" s="6"/>
      <c r="BI175" s="6"/>
      <c r="BJ175" s="6"/>
      <c r="BK175" s="6"/>
      <c r="BL175" s="8">
        <v>27.46</v>
      </c>
      <c r="BM175" s="6"/>
      <c r="BN175" s="6"/>
      <c r="BO175" s="6"/>
      <c r="BP175" s="6"/>
      <c r="BQ175" s="6"/>
      <c r="BR175" s="6"/>
      <c r="BS175" s="6"/>
      <c r="BT175" s="6"/>
      <c r="BU175" s="6"/>
      <c r="BV175" s="6"/>
      <c r="BW175" s="6"/>
      <c r="BX175" s="6"/>
      <c r="BY175" s="6"/>
      <c r="BZ175" s="6"/>
      <c r="CA175" s="6"/>
      <c r="CB175" s="6"/>
      <c r="CC175" s="6"/>
      <c r="CD175" s="6"/>
      <c r="CE175" s="6"/>
      <c r="CF175" s="6"/>
      <c r="CG175" s="9">
        <v>27.46</v>
      </c>
    </row>
    <row r="176" spans="1:85" x14ac:dyDescent="0.3">
      <c r="A176" s="3" t="str">
        <f t="shared" si="4"/>
        <v>NON ADDHomeland Security ActivitiesProtecting Critical Infrastructure &amp; Key AssetsHSA-IT Security</v>
      </c>
      <c r="B176" s="6" t="s">
        <v>223</v>
      </c>
      <c r="C176" s="6" t="s">
        <v>248</v>
      </c>
      <c r="D176" s="6" t="s">
        <v>251</v>
      </c>
      <c r="E176" s="6" t="s">
        <v>257</v>
      </c>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8">
        <v>3.01</v>
      </c>
      <c r="AF176" s="6"/>
      <c r="AG176" s="6"/>
      <c r="AH176" s="8">
        <v>3.01</v>
      </c>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8">
        <v>5.86</v>
      </c>
      <c r="BG176" s="8">
        <v>5.86</v>
      </c>
      <c r="BH176" s="6"/>
      <c r="BI176" s="6"/>
      <c r="BJ176" s="6"/>
      <c r="BK176" s="6"/>
      <c r="BL176" s="8">
        <v>8.8699999999999992</v>
      </c>
      <c r="BM176" s="6"/>
      <c r="BN176" s="6"/>
      <c r="BO176" s="6"/>
      <c r="BP176" s="6"/>
      <c r="BQ176" s="8">
        <v>1</v>
      </c>
      <c r="BR176" s="8">
        <v>1</v>
      </c>
      <c r="BS176" s="8">
        <v>1</v>
      </c>
      <c r="BT176" s="6"/>
      <c r="BU176" s="6"/>
      <c r="BV176" s="6"/>
      <c r="BW176" s="6"/>
      <c r="BX176" s="8">
        <v>4.26</v>
      </c>
      <c r="BY176" s="8">
        <v>4.26</v>
      </c>
      <c r="BZ176" s="8">
        <v>4.26</v>
      </c>
      <c r="CA176" s="6"/>
      <c r="CB176" s="6"/>
      <c r="CC176" s="6"/>
      <c r="CD176" s="6"/>
      <c r="CE176" s="6"/>
      <c r="CF176" s="6"/>
      <c r="CG176" s="9">
        <v>14.13</v>
      </c>
    </row>
    <row r="177" spans="1:85" x14ac:dyDescent="0.3">
      <c r="A177" s="3" t="str">
        <f t="shared" si="4"/>
        <v>NON ADDHomeland Security ActivitiesProtecting Critical Infrastructure &amp; Key AssetsHSA-Resilient Infrastructure</v>
      </c>
      <c r="B177" s="6" t="s">
        <v>223</v>
      </c>
      <c r="C177" s="6" t="s">
        <v>248</v>
      </c>
      <c r="D177" s="6" t="s">
        <v>251</v>
      </c>
      <c r="E177" s="6" t="s">
        <v>258</v>
      </c>
      <c r="F177" s="6"/>
      <c r="G177" s="6"/>
      <c r="H177" s="6"/>
      <c r="I177" s="6"/>
      <c r="J177" s="6"/>
      <c r="K177" s="6"/>
      <c r="L177" s="6"/>
      <c r="M177" s="6"/>
      <c r="N177" s="6"/>
      <c r="O177" s="6"/>
      <c r="P177" s="6"/>
      <c r="Q177" s="6"/>
      <c r="R177" s="6"/>
      <c r="S177" s="6"/>
      <c r="T177" s="6"/>
      <c r="U177" s="6"/>
      <c r="V177" s="6"/>
      <c r="W177" s="6"/>
      <c r="X177" s="6"/>
      <c r="Y177" s="6"/>
      <c r="Z177" s="8">
        <v>96.43</v>
      </c>
      <c r="AA177" s="8">
        <v>96.43</v>
      </c>
      <c r="AB177" s="6"/>
      <c r="AC177" s="6"/>
      <c r="AD177" s="6"/>
      <c r="AE177" s="6"/>
      <c r="AF177" s="6"/>
      <c r="AG177" s="6"/>
      <c r="AH177" s="6"/>
      <c r="AI177" s="6"/>
      <c r="AJ177" s="6"/>
      <c r="AK177" s="6"/>
      <c r="AL177" s="8">
        <v>0.5</v>
      </c>
      <c r="AM177" s="6"/>
      <c r="AN177" s="6"/>
      <c r="AO177" s="6"/>
      <c r="AP177" s="8">
        <v>0.5</v>
      </c>
      <c r="AQ177" s="6"/>
      <c r="AR177" s="6"/>
      <c r="AS177" s="6"/>
      <c r="AT177" s="6"/>
      <c r="AU177" s="8">
        <v>1.5</v>
      </c>
      <c r="AV177" s="8">
        <v>1.5</v>
      </c>
      <c r="AW177" s="6"/>
      <c r="AX177" s="6"/>
      <c r="AY177" s="6"/>
      <c r="AZ177" s="6"/>
      <c r="BA177" s="8">
        <v>6.4</v>
      </c>
      <c r="BB177" s="8">
        <v>6.4</v>
      </c>
      <c r="BC177" s="6"/>
      <c r="BD177" s="6"/>
      <c r="BE177" s="6"/>
      <c r="BF177" s="6"/>
      <c r="BG177" s="6"/>
      <c r="BH177" s="6"/>
      <c r="BI177" s="6"/>
      <c r="BJ177" s="6"/>
      <c r="BK177" s="6"/>
      <c r="BL177" s="8">
        <v>104.83</v>
      </c>
      <c r="BM177" s="6"/>
      <c r="BN177" s="6"/>
      <c r="BO177" s="6"/>
      <c r="BP177" s="6"/>
      <c r="BQ177" s="6"/>
      <c r="BR177" s="6"/>
      <c r="BS177" s="6"/>
      <c r="BT177" s="6"/>
      <c r="BU177" s="6"/>
      <c r="BV177" s="6"/>
      <c r="BW177" s="6"/>
      <c r="BX177" s="6"/>
      <c r="BY177" s="6"/>
      <c r="BZ177" s="6"/>
      <c r="CA177" s="6"/>
      <c r="CB177" s="6"/>
      <c r="CC177" s="6"/>
      <c r="CD177" s="6"/>
      <c r="CE177" s="6"/>
      <c r="CF177" s="6"/>
      <c r="CG177" s="9">
        <v>104.83</v>
      </c>
    </row>
    <row r="178" spans="1:85" x14ac:dyDescent="0.3">
      <c r="A178" s="3" t="str">
        <f t="shared" si="4"/>
        <v>NON ADDHomeland Security ActivitiesProtecting Critical Infrastructure &amp; Key AssetsHSA-Scholarship for Service/Cybercorps (HSA)</v>
      </c>
      <c r="B178" s="6" t="s">
        <v>223</v>
      </c>
      <c r="C178" s="6" t="s">
        <v>248</v>
      </c>
      <c r="D178" s="6" t="s">
        <v>251</v>
      </c>
      <c r="E178" s="6" t="s">
        <v>259</v>
      </c>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8">
        <v>75</v>
      </c>
      <c r="BN178" s="6"/>
      <c r="BO178" s="6"/>
      <c r="BP178" s="6"/>
      <c r="BQ178" s="6"/>
      <c r="BR178" s="8">
        <v>75</v>
      </c>
      <c r="BS178" s="8">
        <v>75</v>
      </c>
      <c r="BT178" s="6"/>
      <c r="BU178" s="6"/>
      <c r="BV178" s="6"/>
      <c r="BW178" s="6"/>
      <c r="BX178" s="6"/>
      <c r="BY178" s="6"/>
      <c r="BZ178" s="6"/>
      <c r="CA178" s="6"/>
      <c r="CB178" s="6"/>
      <c r="CC178" s="6"/>
      <c r="CD178" s="6"/>
      <c r="CE178" s="6"/>
      <c r="CF178" s="6"/>
      <c r="CG178" s="9">
        <v>75</v>
      </c>
    </row>
    <row r="179" spans="1:85" x14ac:dyDescent="0.3">
      <c r="A179" s="3" t="str">
        <f t="shared" si="4"/>
        <v>NON ADDNSTC Crosscuts (excl. HSA)TotalTotal</v>
      </c>
      <c r="B179" s="6" t="s">
        <v>223</v>
      </c>
      <c r="C179" s="6" t="s">
        <v>260</v>
      </c>
      <c r="D179" s="6" t="s">
        <v>24</v>
      </c>
      <c r="E179" s="6" t="s">
        <v>24</v>
      </c>
      <c r="F179" s="6"/>
      <c r="G179" s="6"/>
      <c r="H179" s="6"/>
      <c r="I179" s="6"/>
      <c r="J179" s="6"/>
      <c r="K179" s="8">
        <v>359.38</v>
      </c>
      <c r="L179" s="8">
        <v>359.38</v>
      </c>
      <c r="M179" s="6"/>
      <c r="N179" s="6"/>
      <c r="O179" s="6"/>
      <c r="P179" s="6"/>
      <c r="Q179" s="8">
        <v>0</v>
      </c>
      <c r="R179" s="8">
        <v>1229.1099999999999</v>
      </c>
      <c r="S179" s="8">
        <v>1229.1099999999999</v>
      </c>
      <c r="T179" s="6"/>
      <c r="U179" s="6"/>
      <c r="V179" s="6"/>
      <c r="W179" s="6"/>
      <c r="X179" s="6"/>
      <c r="Y179" s="6"/>
      <c r="Z179" s="8">
        <v>443.9</v>
      </c>
      <c r="AA179" s="8">
        <v>443.9</v>
      </c>
      <c r="AB179" s="6"/>
      <c r="AC179" s="6"/>
      <c r="AD179" s="6"/>
      <c r="AE179" s="8">
        <v>197.26</v>
      </c>
      <c r="AF179" s="8">
        <v>33.67</v>
      </c>
      <c r="AG179" s="8">
        <v>511.7</v>
      </c>
      <c r="AH179" s="8">
        <v>742.63</v>
      </c>
      <c r="AI179" s="8">
        <v>6.14</v>
      </c>
      <c r="AJ179" s="8">
        <v>134.19999999999999</v>
      </c>
      <c r="AK179" s="8">
        <v>127.77</v>
      </c>
      <c r="AL179" s="8">
        <v>31.93</v>
      </c>
      <c r="AM179" s="8">
        <v>41.19</v>
      </c>
      <c r="AN179" s="8">
        <v>53.71</v>
      </c>
      <c r="AO179" s="8">
        <v>156.13</v>
      </c>
      <c r="AP179" s="8">
        <v>551.07000000000005</v>
      </c>
      <c r="AQ179" s="8">
        <v>0</v>
      </c>
      <c r="AR179" s="8">
        <v>0</v>
      </c>
      <c r="AS179" s="8">
        <v>0</v>
      </c>
      <c r="AT179" s="8">
        <v>0</v>
      </c>
      <c r="AU179" s="8">
        <v>56.48</v>
      </c>
      <c r="AV179" s="8">
        <v>56.48</v>
      </c>
      <c r="AW179" s="6"/>
      <c r="AX179" s="6"/>
      <c r="AY179" s="6"/>
      <c r="AZ179" s="6"/>
      <c r="BA179" s="8">
        <v>428.51</v>
      </c>
      <c r="BB179" s="8">
        <v>428.51</v>
      </c>
      <c r="BC179" s="8">
        <v>6.1</v>
      </c>
      <c r="BD179" s="8">
        <v>6.1</v>
      </c>
      <c r="BE179" s="8">
        <v>1</v>
      </c>
      <c r="BF179" s="6"/>
      <c r="BG179" s="8">
        <v>1</v>
      </c>
      <c r="BH179" s="6"/>
      <c r="BI179" s="6"/>
      <c r="BJ179" s="6"/>
      <c r="BK179" s="6"/>
      <c r="BL179" s="8">
        <v>3818.18</v>
      </c>
      <c r="BM179" s="6"/>
      <c r="BN179" s="8">
        <v>19.59</v>
      </c>
      <c r="BO179" s="8">
        <v>2.5</v>
      </c>
      <c r="BP179" s="6"/>
      <c r="BQ179" s="8">
        <v>15</v>
      </c>
      <c r="BR179" s="8">
        <v>37.090000000000003</v>
      </c>
      <c r="BS179" s="8">
        <v>37.090000000000003</v>
      </c>
      <c r="BT179" s="6"/>
      <c r="BU179" s="6"/>
      <c r="BV179" s="6"/>
      <c r="BW179" s="6"/>
      <c r="BX179" s="6"/>
      <c r="BY179" s="6"/>
      <c r="BZ179" s="6"/>
      <c r="CA179" s="6"/>
      <c r="CB179" s="6"/>
      <c r="CC179" s="6"/>
      <c r="CD179" s="6"/>
      <c r="CE179" s="6"/>
      <c r="CF179" s="6"/>
      <c r="CG179" s="9">
        <v>3855.27</v>
      </c>
    </row>
    <row r="180" spans="1:85" x14ac:dyDescent="0.3">
      <c r="A180" s="3" t="str">
        <f t="shared" si="4"/>
        <v>NON ADDNSTC Crosscuts (excl. HSA)National Nanotechnology Initiative (NNI)Total</v>
      </c>
      <c r="B180" s="6" t="s">
        <v>223</v>
      </c>
      <c r="C180" s="6" t="s">
        <v>260</v>
      </c>
      <c r="D180" s="6" t="s">
        <v>261</v>
      </c>
      <c r="E180" s="6" t="s">
        <v>24</v>
      </c>
      <c r="F180" s="6"/>
      <c r="G180" s="6"/>
      <c r="H180" s="6"/>
      <c r="I180" s="6"/>
      <c r="J180" s="6"/>
      <c r="K180" s="8">
        <v>39.950000000000003</v>
      </c>
      <c r="L180" s="8">
        <v>39.950000000000003</v>
      </c>
      <c r="M180" s="6"/>
      <c r="N180" s="6"/>
      <c r="O180" s="6"/>
      <c r="P180" s="6"/>
      <c r="Q180" s="6"/>
      <c r="R180" s="8">
        <v>14.05</v>
      </c>
      <c r="S180" s="8">
        <v>14.05</v>
      </c>
      <c r="T180" s="6"/>
      <c r="U180" s="6"/>
      <c r="V180" s="6"/>
      <c r="W180" s="6"/>
      <c r="X180" s="6"/>
      <c r="Y180" s="6"/>
      <c r="Z180" s="8">
        <v>231.75</v>
      </c>
      <c r="AA180" s="8">
        <v>231.75</v>
      </c>
      <c r="AB180" s="6"/>
      <c r="AC180" s="6"/>
      <c r="AD180" s="6"/>
      <c r="AE180" s="6"/>
      <c r="AF180" s="8">
        <v>0</v>
      </c>
      <c r="AG180" s="6"/>
      <c r="AH180" s="8">
        <v>0</v>
      </c>
      <c r="AI180" s="6"/>
      <c r="AJ180" s="8">
        <v>45.5</v>
      </c>
      <c r="AK180" s="8">
        <v>78.5</v>
      </c>
      <c r="AL180" s="8">
        <v>0.5</v>
      </c>
      <c r="AM180" s="8">
        <v>0</v>
      </c>
      <c r="AN180" s="8">
        <v>9</v>
      </c>
      <c r="AO180" s="8">
        <v>0</v>
      </c>
      <c r="AP180" s="8">
        <v>133.5</v>
      </c>
      <c r="AQ180" s="8">
        <v>0</v>
      </c>
      <c r="AR180" s="6"/>
      <c r="AS180" s="6"/>
      <c r="AT180" s="8">
        <v>0</v>
      </c>
      <c r="AU180" s="8">
        <v>0.4</v>
      </c>
      <c r="AV180" s="8">
        <v>0.4</v>
      </c>
      <c r="AW180" s="6"/>
      <c r="AX180" s="6"/>
      <c r="AY180" s="6"/>
      <c r="AZ180" s="6"/>
      <c r="BA180" s="8">
        <v>10.050000000000001</v>
      </c>
      <c r="BB180" s="8">
        <v>10.050000000000001</v>
      </c>
      <c r="BC180" s="8">
        <v>0.1</v>
      </c>
      <c r="BD180" s="8">
        <v>0.1</v>
      </c>
      <c r="BE180" s="6"/>
      <c r="BF180" s="6"/>
      <c r="BG180" s="6"/>
      <c r="BH180" s="6"/>
      <c r="BI180" s="6"/>
      <c r="BJ180" s="6"/>
      <c r="BK180" s="6"/>
      <c r="BL180" s="8">
        <v>429.8</v>
      </c>
      <c r="BM180" s="6"/>
      <c r="BN180" s="6"/>
      <c r="BO180" s="8">
        <v>2.5</v>
      </c>
      <c r="BP180" s="6"/>
      <c r="BQ180" s="8">
        <v>0</v>
      </c>
      <c r="BR180" s="8">
        <v>2.5</v>
      </c>
      <c r="BS180" s="8">
        <v>2.5</v>
      </c>
      <c r="BT180" s="6"/>
      <c r="BU180" s="6"/>
      <c r="BV180" s="6"/>
      <c r="BW180" s="6"/>
      <c r="BX180" s="6"/>
      <c r="BY180" s="6"/>
      <c r="BZ180" s="6"/>
      <c r="CA180" s="6"/>
      <c r="CB180" s="6"/>
      <c r="CC180" s="6"/>
      <c r="CD180" s="6"/>
      <c r="CE180" s="6"/>
      <c r="CF180" s="6"/>
      <c r="CG180" s="9">
        <v>432.3</v>
      </c>
    </row>
    <row r="181" spans="1:85" x14ac:dyDescent="0.3">
      <c r="A181" s="3" t="str">
        <f t="shared" si="4"/>
        <v>NON ADDNSTC Crosscuts (excl. HSA)National Nanotechnology Initiative (NNI)NNI-Education and Workforce Development</v>
      </c>
      <c r="B181" s="6" t="s">
        <v>223</v>
      </c>
      <c r="C181" s="6" t="s">
        <v>260</v>
      </c>
      <c r="D181" s="6" t="s">
        <v>261</v>
      </c>
      <c r="E181" s="6" t="s">
        <v>262</v>
      </c>
      <c r="F181" s="6"/>
      <c r="G181" s="6"/>
      <c r="H181" s="6"/>
      <c r="I181" s="6"/>
      <c r="J181" s="6"/>
      <c r="K181" s="6"/>
      <c r="L181" s="6"/>
      <c r="M181" s="6"/>
      <c r="N181" s="6"/>
      <c r="O181" s="6"/>
      <c r="P181" s="6"/>
      <c r="Q181" s="6"/>
      <c r="R181" s="6"/>
      <c r="S181" s="6"/>
      <c r="T181" s="6"/>
      <c r="U181" s="6"/>
      <c r="V181" s="6"/>
      <c r="W181" s="6"/>
      <c r="X181" s="6"/>
      <c r="Y181" s="6"/>
      <c r="Z181" s="8">
        <v>20</v>
      </c>
      <c r="AA181" s="8">
        <v>20</v>
      </c>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8">
        <v>20</v>
      </c>
      <c r="BM181" s="6"/>
      <c r="BN181" s="6"/>
      <c r="BO181" s="8">
        <v>1.5</v>
      </c>
      <c r="BP181" s="6"/>
      <c r="BQ181" s="6"/>
      <c r="BR181" s="8">
        <v>1.5</v>
      </c>
      <c r="BS181" s="8">
        <v>1.5</v>
      </c>
      <c r="BT181" s="6"/>
      <c r="BU181" s="6"/>
      <c r="BV181" s="6"/>
      <c r="BW181" s="6"/>
      <c r="BX181" s="6"/>
      <c r="BY181" s="6"/>
      <c r="BZ181" s="6"/>
      <c r="CA181" s="6"/>
      <c r="CB181" s="6"/>
      <c r="CC181" s="6"/>
      <c r="CD181" s="6"/>
      <c r="CE181" s="6"/>
      <c r="CF181" s="6"/>
      <c r="CG181" s="9">
        <v>21.5</v>
      </c>
    </row>
    <row r="182" spans="1:85" x14ac:dyDescent="0.3">
      <c r="A182" s="3" t="str">
        <f t="shared" si="4"/>
        <v>NON ADDNSTC Crosscuts (excl. HSA)National Nanotechnology Initiative (NNI)NNI-Foundational Research</v>
      </c>
      <c r="B182" s="6" t="s">
        <v>223</v>
      </c>
      <c r="C182" s="6" t="s">
        <v>260</v>
      </c>
      <c r="D182" s="6" t="s">
        <v>261</v>
      </c>
      <c r="E182" s="6" t="s">
        <v>263</v>
      </c>
      <c r="F182" s="6"/>
      <c r="G182" s="6"/>
      <c r="H182" s="6"/>
      <c r="I182" s="6"/>
      <c r="J182" s="6"/>
      <c r="K182" s="8">
        <v>37.6</v>
      </c>
      <c r="L182" s="8">
        <v>37.6</v>
      </c>
      <c r="M182" s="6"/>
      <c r="N182" s="6"/>
      <c r="O182" s="6"/>
      <c r="P182" s="6"/>
      <c r="Q182" s="6"/>
      <c r="R182" s="8">
        <v>9.1999999999999993</v>
      </c>
      <c r="S182" s="8">
        <v>9.1999999999999993</v>
      </c>
      <c r="T182" s="6"/>
      <c r="U182" s="6"/>
      <c r="V182" s="6"/>
      <c r="W182" s="6"/>
      <c r="X182" s="6"/>
      <c r="Y182" s="6"/>
      <c r="Z182" s="8">
        <v>97</v>
      </c>
      <c r="AA182" s="8">
        <v>97</v>
      </c>
      <c r="AB182" s="6"/>
      <c r="AC182" s="6"/>
      <c r="AD182" s="6"/>
      <c r="AE182" s="6"/>
      <c r="AF182" s="6"/>
      <c r="AG182" s="6"/>
      <c r="AH182" s="6"/>
      <c r="AI182" s="6"/>
      <c r="AJ182" s="8">
        <v>33</v>
      </c>
      <c r="AK182" s="8">
        <v>71</v>
      </c>
      <c r="AL182" s="8">
        <v>0.5</v>
      </c>
      <c r="AM182" s="8">
        <v>0</v>
      </c>
      <c r="AN182" s="8">
        <v>9</v>
      </c>
      <c r="AO182" s="8">
        <v>0</v>
      </c>
      <c r="AP182" s="8">
        <v>113.5</v>
      </c>
      <c r="AQ182" s="8">
        <v>0</v>
      </c>
      <c r="AR182" s="6"/>
      <c r="AS182" s="6"/>
      <c r="AT182" s="8">
        <v>0</v>
      </c>
      <c r="AU182" s="6"/>
      <c r="AV182" s="8">
        <v>0</v>
      </c>
      <c r="AW182" s="6"/>
      <c r="AX182" s="6"/>
      <c r="AY182" s="6"/>
      <c r="AZ182" s="6"/>
      <c r="BA182" s="8">
        <v>4</v>
      </c>
      <c r="BB182" s="8">
        <v>4</v>
      </c>
      <c r="BC182" s="6"/>
      <c r="BD182" s="6"/>
      <c r="BE182" s="6"/>
      <c r="BF182" s="6"/>
      <c r="BG182" s="6"/>
      <c r="BH182" s="6"/>
      <c r="BI182" s="6"/>
      <c r="BJ182" s="6"/>
      <c r="BK182" s="6"/>
      <c r="BL182" s="8">
        <v>261.3</v>
      </c>
      <c r="BM182" s="6"/>
      <c r="BN182" s="6"/>
      <c r="BO182" s="6"/>
      <c r="BP182" s="6"/>
      <c r="BQ182" s="6"/>
      <c r="BR182" s="6"/>
      <c r="BS182" s="6"/>
      <c r="BT182" s="6"/>
      <c r="BU182" s="6"/>
      <c r="BV182" s="6"/>
      <c r="BW182" s="6"/>
      <c r="BX182" s="6"/>
      <c r="BY182" s="6"/>
      <c r="BZ182" s="6"/>
      <c r="CA182" s="6"/>
      <c r="CB182" s="6"/>
      <c r="CC182" s="6"/>
      <c r="CD182" s="6"/>
      <c r="CE182" s="6"/>
      <c r="CF182" s="6"/>
      <c r="CG182" s="9">
        <v>261.3</v>
      </c>
    </row>
    <row r="183" spans="1:85" x14ac:dyDescent="0.3">
      <c r="A183" s="3" t="str">
        <f t="shared" si="4"/>
        <v>NON ADDNSTC Crosscuts (excl. HSA)National Nanotechnology Initiative (NNI)NNI-Nanotechnology-Enabled Applications, Devices, and Systems</v>
      </c>
      <c r="B183" s="6" t="s">
        <v>223</v>
      </c>
      <c r="C183" s="6" t="s">
        <v>260</v>
      </c>
      <c r="D183" s="6" t="s">
        <v>261</v>
      </c>
      <c r="E183" s="6" t="s">
        <v>264</v>
      </c>
      <c r="F183" s="6"/>
      <c r="G183" s="6"/>
      <c r="H183" s="6"/>
      <c r="I183" s="6"/>
      <c r="J183" s="6"/>
      <c r="K183" s="6"/>
      <c r="L183" s="6"/>
      <c r="M183" s="6"/>
      <c r="N183" s="6"/>
      <c r="O183" s="6"/>
      <c r="P183" s="6"/>
      <c r="Q183" s="6"/>
      <c r="R183" s="8">
        <v>3.95</v>
      </c>
      <c r="S183" s="8">
        <v>3.95</v>
      </c>
      <c r="T183" s="6"/>
      <c r="U183" s="6"/>
      <c r="V183" s="6"/>
      <c r="W183" s="6"/>
      <c r="X183" s="6"/>
      <c r="Y183" s="6"/>
      <c r="Z183" s="8">
        <v>87</v>
      </c>
      <c r="AA183" s="8">
        <v>87</v>
      </c>
      <c r="AB183" s="6"/>
      <c r="AC183" s="6"/>
      <c r="AD183" s="6"/>
      <c r="AE183" s="6"/>
      <c r="AF183" s="6"/>
      <c r="AG183" s="6"/>
      <c r="AH183" s="6"/>
      <c r="AI183" s="6"/>
      <c r="AJ183" s="8">
        <v>3.5</v>
      </c>
      <c r="AK183" s="8">
        <v>2</v>
      </c>
      <c r="AL183" s="6"/>
      <c r="AM183" s="8">
        <v>0</v>
      </c>
      <c r="AN183" s="6"/>
      <c r="AO183" s="6"/>
      <c r="AP183" s="8">
        <v>5.5</v>
      </c>
      <c r="AQ183" s="6"/>
      <c r="AR183" s="6"/>
      <c r="AS183" s="6"/>
      <c r="AT183" s="6"/>
      <c r="AU183" s="6"/>
      <c r="AV183" s="6"/>
      <c r="AW183" s="6"/>
      <c r="AX183" s="6"/>
      <c r="AY183" s="6"/>
      <c r="AZ183" s="6"/>
      <c r="BA183" s="8">
        <v>4.5199999999999996</v>
      </c>
      <c r="BB183" s="8">
        <v>4.5199999999999996</v>
      </c>
      <c r="BC183" s="6"/>
      <c r="BD183" s="6"/>
      <c r="BE183" s="6"/>
      <c r="BF183" s="6"/>
      <c r="BG183" s="6"/>
      <c r="BH183" s="6"/>
      <c r="BI183" s="6"/>
      <c r="BJ183" s="6"/>
      <c r="BK183" s="6"/>
      <c r="BL183" s="8">
        <v>100.97</v>
      </c>
      <c r="BM183" s="6"/>
      <c r="BN183" s="6"/>
      <c r="BO183" s="6"/>
      <c r="BP183" s="6"/>
      <c r="BQ183" s="6"/>
      <c r="BR183" s="6"/>
      <c r="BS183" s="6"/>
      <c r="BT183" s="6"/>
      <c r="BU183" s="6"/>
      <c r="BV183" s="6"/>
      <c r="BW183" s="6"/>
      <c r="BX183" s="6"/>
      <c r="BY183" s="6"/>
      <c r="BZ183" s="6"/>
      <c r="CA183" s="6"/>
      <c r="CB183" s="6"/>
      <c r="CC183" s="6"/>
      <c r="CD183" s="6"/>
      <c r="CE183" s="6"/>
      <c r="CF183" s="6"/>
      <c r="CG183" s="9">
        <v>100.97</v>
      </c>
    </row>
    <row r="184" spans="1:85" x14ac:dyDescent="0.3">
      <c r="A184" s="3" t="str">
        <f t="shared" si="4"/>
        <v>NON ADDNSTC Crosscuts (excl. HSA)National Nanotechnology Initiative (NNI)NNI-Research Infrastructure and Instrumentation</v>
      </c>
      <c r="B184" s="6" t="s">
        <v>223</v>
      </c>
      <c r="C184" s="6" t="s">
        <v>260</v>
      </c>
      <c r="D184" s="6" t="s">
        <v>261</v>
      </c>
      <c r="E184" s="6" t="s">
        <v>265</v>
      </c>
      <c r="F184" s="6"/>
      <c r="G184" s="6"/>
      <c r="H184" s="6"/>
      <c r="I184" s="6"/>
      <c r="J184" s="6"/>
      <c r="K184" s="8">
        <v>2.35</v>
      </c>
      <c r="L184" s="8">
        <v>2.35</v>
      </c>
      <c r="M184" s="6"/>
      <c r="N184" s="6"/>
      <c r="O184" s="6"/>
      <c r="P184" s="6"/>
      <c r="Q184" s="6"/>
      <c r="R184" s="8">
        <v>0.9</v>
      </c>
      <c r="S184" s="8">
        <v>0.9</v>
      </c>
      <c r="T184" s="6"/>
      <c r="U184" s="6"/>
      <c r="V184" s="6"/>
      <c r="W184" s="6"/>
      <c r="X184" s="6"/>
      <c r="Y184" s="6"/>
      <c r="Z184" s="8">
        <v>13</v>
      </c>
      <c r="AA184" s="8">
        <v>13</v>
      </c>
      <c r="AB184" s="6"/>
      <c r="AC184" s="6"/>
      <c r="AD184" s="6"/>
      <c r="AE184" s="6"/>
      <c r="AF184" s="8">
        <v>0</v>
      </c>
      <c r="AG184" s="6"/>
      <c r="AH184" s="8">
        <v>0</v>
      </c>
      <c r="AI184" s="6"/>
      <c r="AJ184" s="8">
        <v>3</v>
      </c>
      <c r="AK184" s="8">
        <v>5</v>
      </c>
      <c r="AL184" s="6"/>
      <c r="AM184" s="6"/>
      <c r="AN184" s="8">
        <v>0</v>
      </c>
      <c r="AO184" s="6"/>
      <c r="AP184" s="8">
        <v>8</v>
      </c>
      <c r="AQ184" s="6"/>
      <c r="AR184" s="6"/>
      <c r="AS184" s="6"/>
      <c r="AT184" s="8">
        <v>0</v>
      </c>
      <c r="AU184" s="8">
        <v>0.4</v>
      </c>
      <c r="AV184" s="8">
        <v>0.4</v>
      </c>
      <c r="AW184" s="6"/>
      <c r="AX184" s="6"/>
      <c r="AY184" s="6"/>
      <c r="AZ184" s="6"/>
      <c r="BA184" s="8">
        <v>0.93</v>
      </c>
      <c r="BB184" s="8">
        <v>0.93</v>
      </c>
      <c r="BC184" s="8">
        <v>0.1</v>
      </c>
      <c r="BD184" s="8">
        <v>0.1</v>
      </c>
      <c r="BE184" s="6"/>
      <c r="BF184" s="6"/>
      <c r="BG184" s="6"/>
      <c r="BH184" s="6"/>
      <c r="BI184" s="6"/>
      <c r="BJ184" s="6"/>
      <c r="BK184" s="6"/>
      <c r="BL184" s="8">
        <v>25.68</v>
      </c>
      <c r="BM184" s="6"/>
      <c r="BN184" s="6"/>
      <c r="BO184" s="8">
        <v>1</v>
      </c>
      <c r="BP184" s="6"/>
      <c r="BQ184" s="8">
        <v>0</v>
      </c>
      <c r="BR184" s="8">
        <v>1</v>
      </c>
      <c r="BS184" s="8">
        <v>1</v>
      </c>
      <c r="BT184" s="6"/>
      <c r="BU184" s="6"/>
      <c r="BV184" s="6"/>
      <c r="BW184" s="6"/>
      <c r="BX184" s="6"/>
      <c r="BY184" s="6"/>
      <c r="BZ184" s="6"/>
      <c r="CA184" s="6"/>
      <c r="CB184" s="6"/>
      <c r="CC184" s="6"/>
      <c r="CD184" s="6"/>
      <c r="CE184" s="6"/>
      <c r="CF184" s="6"/>
      <c r="CG184" s="9">
        <v>26.68</v>
      </c>
    </row>
    <row r="185" spans="1:85" x14ac:dyDescent="0.3">
      <c r="A185" s="3" t="str">
        <f t="shared" si="4"/>
        <v>NON ADDNSTC Crosscuts (excl. HSA)National Nanotechnology Initiative (NNI)NNI-Responsible Development</v>
      </c>
      <c r="B185" s="6" t="s">
        <v>223</v>
      </c>
      <c r="C185" s="6" t="s">
        <v>260</v>
      </c>
      <c r="D185" s="6" t="s">
        <v>261</v>
      </c>
      <c r="E185" s="6" t="s">
        <v>266</v>
      </c>
      <c r="F185" s="6"/>
      <c r="G185" s="6"/>
      <c r="H185" s="6"/>
      <c r="I185" s="6"/>
      <c r="J185" s="6"/>
      <c r="K185" s="6"/>
      <c r="L185" s="6"/>
      <c r="M185" s="6"/>
      <c r="N185" s="6"/>
      <c r="O185" s="6"/>
      <c r="P185" s="6"/>
      <c r="Q185" s="6"/>
      <c r="R185" s="6"/>
      <c r="S185" s="6"/>
      <c r="T185" s="6"/>
      <c r="U185" s="6"/>
      <c r="V185" s="6"/>
      <c r="W185" s="6"/>
      <c r="X185" s="6"/>
      <c r="Y185" s="6"/>
      <c r="Z185" s="8">
        <v>14.75</v>
      </c>
      <c r="AA185" s="8">
        <v>14.75</v>
      </c>
      <c r="AB185" s="6"/>
      <c r="AC185" s="6"/>
      <c r="AD185" s="6"/>
      <c r="AE185" s="6"/>
      <c r="AF185" s="6"/>
      <c r="AG185" s="6"/>
      <c r="AH185" s="6"/>
      <c r="AI185" s="6"/>
      <c r="AJ185" s="8">
        <v>6</v>
      </c>
      <c r="AK185" s="8">
        <v>0.5</v>
      </c>
      <c r="AL185" s="6"/>
      <c r="AM185" s="6"/>
      <c r="AN185" s="6"/>
      <c r="AO185" s="6"/>
      <c r="AP185" s="8">
        <v>6.5</v>
      </c>
      <c r="AQ185" s="6"/>
      <c r="AR185" s="6"/>
      <c r="AS185" s="6"/>
      <c r="AT185" s="6"/>
      <c r="AU185" s="6"/>
      <c r="AV185" s="6"/>
      <c r="AW185" s="6"/>
      <c r="AX185" s="6"/>
      <c r="AY185" s="6"/>
      <c r="AZ185" s="6"/>
      <c r="BA185" s="8">
        <v>0.6</v>
      </c>
      <c r="BB185" s="8">
        <v>0.6</v>
      </c>
      <c r="BC185" s="6"/>
      <c r="BD185" s="6"/>
      <c r="BE185" s="6"/>
      <c r="BF185" s="6"/>
      <c r="BG185" s="6"/>
      <c r="BH185" s="6"/>
      <c r="BI185" s="6"/>
      <c r="BJ185" s="6"/>
      <c r="BK185" s="6"/>
      <c r="BL185" s="8">
        <v>21.85</v>
      </c>
      <c r="BM185" s="6"/>
      <c r="BN185" s="6"/>
      <c r="BO185" s="6"/>
      <c r="BP185" s="6"/>
      <c r="BQ185" s="6"/>
      <c r="BR185" s="6"/>
      <c r="BS185" s="6"/>
      <c r="BT185" s="6"/>
      <c r="BU185" s="6"/>
      <c r="BV185" s="6"/>
      <c r="BW185" s="6"/>
      <c r="BX185" s="6"/>
      <c r="BY185" s="6"/>
      <c r="BZ185" s="6"/>
      <c r="CA185" s="6"/>
      <c r="CB185" s="6"/>
      <c r="CC185" s="6"/>
      <c r="CD185" s="6"/>
      <c r="CE185" s="6"/>
      <c r="CF185" s="6"/>
      <c r="CG185" s="9">
        <v>21.85</v>
      </c>
    </row>
    <row r="186" spans="1:85" x14ac:dyDescent="0.3">
      <c r="A186" s="3" t="str">
        <f t="shared" si="4"/>
        <v>NON ADDNSTC Crosscuts (excl. HSA)Networking &amp; Information Technology R&amp;D (NITRD)Total</v>
      </c>
      <c r="B186" s="6" t="s">
        <v>223</v>
      </c>
      <c r="C186" s="6" t="s">
        <v>260</v>
      </c>
      <c r="D186" s="6" t="s">
        <v>267</v>
      </c>
      <c r="E186" s="6" t="s">
        <v>24</v>
      </c>
      <c r="F186" s="6"/>
      <c r="G186" s="6"/>
      <c r="H186" s="6"/>
      <c r="I186" s="6"/>
      <c r="J186" s="6"/>
      <c r="K186" s="8">
        <v>79</v>
      </c>
      <c r="L186" s="8">
        <v>79</v>
      </c>
      <c r="M186" s="6"/>
      <c r="N186" s="6"/>
      <c r="O186" s="6"/>
      <c r="P186" s="6"/>
      <c r="Q186" s="8">
        <v>0</v>
      </c>
      <c r="R186" s="8">
        <v>1150.78</v>
      </c>
      <c r="S186" s="8">
        <v>1150.78</v>
      </c>
      <c r="T186" s="6"/>
      <c r="U186" s="6"/>
      <c r="V186" s="6"/>
      <c r="W186" s="6"/>
      <c r="X186" s="6"/>
      <c r="Y186" s="6"/>
      <c r="Z186" s="8">
        <v>179.26</v>
      </c>
      <c r="AA186" s="8">
        <v>179.26</v>
      </c>
      <c r="AB186" s="6"/>
      <c r="AC186" s="6"/>
      <c r="AD186" s="6"/>
      <c r="AE186" s="6"/>
      <c r="AF186" s="6"/>
      <c r="AG186" s="8">
        <v>30</v>
      </c>
      <c r="AH186" s="8">
        <v>30</v>
      </c>
      <c r="AI186" s="8">
        <v>6.14</v>
      </c>
      <c r="AJ186" s="8">
        <v>77</v>
      </c>
      <c r="AK186" s="8">
        <v>49.27</v>
      </c>
      <c r="AL186" s="8">
        <v>28.5</v>
      </c>
      <c r="AM186" s="8">
        <v>21.19</v>
      </c>
      <c r="AN186" s="8">
        <v>44.71</v>
      </c>
      <c r="AO186" s="6"/>
      <c r="AP186" s="8">
        <v>226.81</v>
      </c>
      <c r="AQ186" s="8">
        <v>0</v>
      </c>
      <c r="AR186" s="8">
        <v>0</v>
      </c>
      <c r="AS186" s="8">
        <v>0</v>
      </c>
      <c r="AT186" s="8">
        <v>0</v>
      </c>
      <c r="AU186" s="8">
        <v>30.94</v>
      </c>
      <c r="AV186" s="8">
        <v>30.94</v>
      </c>
      <c r="AW186" s="6"/>
      <c r="AX186" s="6"/>
      <c r="AY186" s="6"/>
      <c r="AZ186" s="6"/>
      <c r="BA186" s="8">
        <v>380.04</v>
      </c>
      <c r="BB186" s="8">
        <v>380.04</v>
      </c>
      <c r="BC186" s="6"/>
      <c r="BD186" s="6"/>
      <c r="BE186" s="8">
        <v>1</v>
      </c>
      <c r="BF186" s="6"/>
      <c r="BG186" s="8">
        <v>1</v>
      </c>
      <c r="BH186" s="6"/>
      <c r="BI186" s="6"/>
      <c r="BJ186" s="6"/>
      <c r="BK186" s="6"/>
      <c r="BL186" s="8">
        <v>2077.83</v>
      </c>
      <c r="BM186" s="6"/>
      <c r="BN186" s="8">
        <v>19.59</v>
      </c>
      <c r="BO186" s="6"/>
      <c r="BP186" s="6"/>
      <c r="BQ186" s="8">
        <v>10</v>
      </c>
      <c r="BR186" s="8">
        <v>29.59</v>
      </c>
      <c r="BS186" s="8">
        <v>29.59</v>
      </c>
      <c r="BT186" s="6"/>
      <c r="BU186" s="6"/>
      <c r="BV186" s="6"/>
      <c r="BW186" s="6"/>
      <c r="BX186" s="6"/>
      <c r="BY186" s="6"/>
      <c r="BZ186" s="6"/>
      <c r="CA186" s="6"/>
      <c r="CB186" s="6"/>
      <c r="CC186" s="6"/>
      <c r="CD186" s="6"/>
      <c r="CE186" s="6"/>
      <c r="CF186" s="6"/>
      <c r="CG186" s="9">
        <v>2107.42</v>
      </c>
    </row>
    <row r="187" spans="1:85" x14ac:dyDescent="0.3">
      <c r="A187" s="3" t="str">
        <f t="shared" si="4"/>
        <v>NON ADDNSTC Crosscuts (excl. HSA)Networking &amp; Information Technology R&amp;D (NITRD)NITRD-ACNS-Advanced Communication Networks and Systems</v>
      </c>
      <c r="B187" s="6" t="s">
        <v>223</v>
      </c>
      <c r="C187" s="6" t="s">
        <v>260</v>
      </c>
      <c r="D187" s="6" t="s">
        <v>267</v>
      </c>
      <c r="E187" s="6" t="s">
        <v>268</v>
      </c>
      <c r="F187" s="6"/>
      <c r="G187" s="6"/>
      <c r="H187" s="6"/>
      <c r="I187" s="6"/>
      <c r="J187" s="6"/>
      <c r="K187" s="6"/>
      <c r="L187" s="6"/>
      <c r="M187" s="6"/>
      <c r="N187" s="6"/>
      <c r="O187" s="6"/>
      <c r="P187" s="6"/>
      <c r="Q187" s="8">
        <v>0</v>
      </c>
      <c r="R187" s="8">
        <v>148.34</v>
      </c>
      <c r="S187" s="8">
        <v>148.34</v>
      </c>
      <c r="T187" s="6"/>
      <c r="U187" s="6"/>
      <c r="V187" s="6"/>
      <c r="W187" s="6"/>
      <c r="X187" s="6"/>
      <c r="Y187" s="6"/>
      <c r="Z187" s="8">
        <v>28.01</v>
      </c>
      <c r="AA187" s="8">
        <v>28.01</v>
      </c>
      <c r="AB187" s="6"/>
      <c r="AC187" s="6"/>
      <c r="AD187" s="6"/>
      <c r="AE187" s="6"/>
      <c r="AF187" s="6"/>
      <c r="AG187" s="6"/>
      <c r="AH187" s="6"/>
      <c r="AI187" s="6"/>
      <c r="AJ187" s="6"/>
      <c r="AK187" s="6"/>
      <c r="AL187" s="6"/>
      <c r="AM187" s="8">
        <v>17</v>
      </c>
      <c r="AN187" s="6"/>
      <c r="AO187" s="6"/>
      <c r="AP187" s="8">
        <v>17</v>
      </c>
      <c r="AQ187" s="6"/>
      <c r="AR187" s="6"/>
      <c r="AS187" s="6"/>
      <c r="AT187" s="6"/>
      <c r="AU187" s="8">
        <v>0</v>
      </c>
      <c r="AV187" s="8">
        <v>0</v>
      </c>
      <c r="AW187" s="6"/>
      <c r="AX187" s="6"/>
      <c r="AY187" s="6"/>
      <c r="AZ187" s="6"/>
      <c r="BA187" s="8">
        <v>28.05</v>
      </c>
      <c r="BB187" s="8">
        <v>28.05</v>
      </c>
      <c r="BC187" s="6"/>
      <c r="BD187" s="6"/>
      <c r="BE187" s="6"/>
      <c r="BF187" s="6"/>
      <c r="BG187" s="6"/>
      <c r="BH187" s="6"/>
      <c r="BI187" s="6"/>
      <c r="BJ187" s="6"/>
      <c r="BK187" s="6"/>
      <c r="BL187" s="8">
        <v>221.4</v>
      </c>
      <c r="BM187" s="6"/>
      <c r="BN187" s="6"/>
      <c r="BO187" s="6"/>
      <c r="BP187" s="6"/>
      <c r="BQ187" s="6"/>
      <c r="BR187" s="6"/>
      <c r="BS187" s="6"/>
      <c r="BT187" s="6"/>
      <c r="BU187" s="6"/>
      <c r="BV187" s="6"/>
      <c r="BW187" s="6"/>
      <c r="BX187" s="6"/>
      <c r="BY187" s="6"/>
      <c r="BZ187" s="6"/>
      <c r="CA187" s="6"/>
      <c r="CB187" s="6"/>
      <c r="CC187" s="6"/>
      <c r="CD187" s="6"/>
      <c r="CE187" s="6"/>
      <c r="CF187" s="6"/>
      <c r="CG187" s="9">
        <v>221.4</v>
      </c>
    </row>
    <row r="188" spans="1:85" x14ac:dyDescent="0.3">
      <c r="A188" s="3" t="str">
        <f t="shared" si="4"/>
        <v>NON ADDNSTC Crosscuts (excl. HSA)Networking &amp; Information Technology R&amp;D (NITRD)NITRD-AI-Artificial Intelligence</v>
      </c>
      <c r="B188" s="6" t="s">
        <v>223</v>
      </c>
      <c r="C188" s="6" t="s">
        <v>260</v>
      </c>
      <c r="D188" s="6" t="s">
        <v>267</v>
      </c>
      <c r="E188" s="6" t="s">
        <v>269</v>
      </c>
      <c r="F188" s="6"/>
      <c r="G188" s="6"/>
      <c r="H188" s="6"/>
      <c r="I188" s="6"/>
      <c r="J188" s="6"/>
      <c r="K188" s="8">
        <v>12</v>
      </c>
      <c r="L188" s="8">
        <v>12</v>
      </c>
      <c r="M188" s="6"/>
      <c r="N188" s="6"/>
      <c r="O188" s="6"/>
      <c r="P188" s="6"/>
      <c r="Q188" s="6"/>
      <c r="R188" s="8">
        <v>189.14</v>
      </c>
      <c r="S188" s="8">
        <v>189.14</v>
      </c>
      <c r="T188" s="6"/>
      <c r="U188" s="6"/>
      <c r="V188" s="6"/>
      <c r="W188" s="6"/>
      <c r="X188" s="6"/>
      <c r="Y188" s="6"/>
      <c r="Z188" s="8">
        <v>87.34</v>
      </c>
      <c r="AA188" s="8">
        <v>87.34</v>
      </c>
      <c r="AB188" s="6"/>
      <c r="AC188" s="6"/>
      <c r="AD188" s="6"/>
      <c r="AE188" s="6"/>
      <c r="AF188" s="6"/>
      <c r="AG188" s="8">
        <v>5</v>
      </c>
      <c r="AH188" s="8">
        <v>5</v>
      </c>
      <c r="AI188" s="8">
        <v>1</v>
      </c>
      <c r="AJ188" s="8">
        <v>10</v>
      </c>
      <c r="AK188" s="8">
        <v>17.77</v>
      </c>
      <c r="AL188" s="8">
        <v>18</v>
      </c>
      <c r="AM188" s="8">
        <v>4.1900000000000004</v>
      </c>
      <c r="AN188" s="8">
        <v>20.71</v>
      </c>
      <c r="AO188" s="6"/>
      <c r="AP188" s="8">
        <v>71.67</v>
      </c>
      <c r="AQ188" s="6"/>
      <c r="AR188" s="6"/>
      <c r="AS188" s="6"/>
      <c r="AT188" s="6"/>
      <c r="AU188" s="8">
        <v>3.87</v>
      </c>
      <c r="AV188" s="8">
        <v>3.87</v>
      </c>
      <c r="AW188" s="6"/>
      <c r="AX188" s="6"/>
      <c r="AY188" s="6"/>
      <c r="AZ188" s="6"/>
      <c r="BA188" s="8">
        <v>101.55</v>
      </c>
      <c r="BB188" s="8">
        <v>101.55</v>
      </c>
      <c r="BC188" s="6"/>
      <c r="BD188" s="6"/>
      <c r="BE188" s="8">
        <v>1</v>
      </c>
      <c r="BF188" s="6"/>
      <c r="BG188" s="8">
        <v>1</v>
      </c>
      <c r="BH188" s="6"/>
      <c r="BI188" s="6"/>
      <c r="BJ188" s="6"/>
      <c r="BK188" s="6"/>
      <c r="BL188" s="8">
        <v>471.57</v>
      </c>
      <c r="BM188" s="6"/>
      <c r="BN188" s="8">
        <v>19.59</v>
      </c>
      <c r="BO188" s="6"/>
      <c r="BP188" s="6"/>
      <c r="BQ188" s="6"/>
      <c r="BR188" s="8">
        <v>19.59</v>
      </c>
      <c r="BS188" s="8">
        <v>19.59</v>
      </c>
      <c r="BT188" s="6"/>
      <c r="BU188" s="6"/>
      <c r="BV188" s="6"/>
      <c r="BW188" s="6"/>
      <c r="BX188" s="6"/>
      <c r="BY188" s="6"/>
      <c r="BZ188" s="6"/>
      <c r="CA188" s="6"/>
      <c r="CB188" s="6"/>
      <c r="CC188" s="6"/>
      <c r="CD188" s="6"/>
      <c r="CE188" s="6"/>
      <c r="CF188" s="6"/>
      <c r="CG188" s="9">
        <v>491.16</v>
      </c>
    </row>
    <row r="189" spans="1:85" x14ac:dyDescent="0.3">
      <c r="A189" s="3" t="str">
        <f t="shared" si="4"/>
        <v>NON ADDNSTC Crosscuts (excl. HSA)Networking &amp; Information Technology R&amp;D (NITRD)NITRD-C-HUMAN-Computing-Enabled Human Interaction, Communications, Augmentation</v>
      </c>
      <c r="B189" s="6" t="s">
        <v>223</v>
      </c>
      <c r="C189" s="6" t="s">
        <v>260</v>
      </c>
      <c r="D189" s="6" t="s">
        <v>267</v>
      </c>
      <c r="E189" s="6" t="s">
        <v>270</v>
      </c>
      <c r="F189" s="6"/>
      <c r="G189" s="6"/>
      <c r="H189" s="6"/>
      <c r="I189" s="6"/>
      <c r="J189" s="6"/>
      <c r="K189" s="6"/>
      <c r="L189" s="6"/>
      <c r="M189" s="6"/>
      <c r="N189" s="6"/>
      <c r="O189" s="6"/>
      <c r="P189" s="6"/>
      <c r="Q189" s="6"/>
      <c r="R189" s="8">
        <v>72.510000000000005</v>
      </c>
      <c r="S189" s="8">
        <v>72.510000000000005</v>
      </c>
      <c r="T189" s="6"/>
      <c r="U189" s="6"/>
      <c r="V189" s="6"/>
      <c r="W189" s="6"/>
      <c r="X189" s="6"/>
      <c r="Y189" s="6"/>
      <c r="Z189" s="8">
        <v>14</v>
      </c>
      <c r="AA189" s="8">
        <v>14</v>
      </c>
      <c r="AB189" s="6"/>
      <c r="AC189" s="6"/>
      <c r="AD189" s="6"/>
      <c r="AE189" s="6"/>
      <c r="AF189" s="6"/>
      <c r="AG189" s="6"/>
      <c r="AH189" s="6"/>
      <c r="AI189" s="6"/>
      <c r="AJ189" s="6"/>
      <c r="AK189" s="6"/>
      <c r="AL189" s="6"/>
      <c r="AM189" s="6"/>
      <c r="AN189" s="6"/>
      <c r="AO189" s="6"/>
      <c r="AP189" s="6"/>
      <c r="AQ189" s="6"/>
      <c r="AR189" s="6"/>
      <c r="AS189" s="6"/>
      <c r="AT189" s="6"/>
      <c r="AU189" s="8">
        <v>11.38</v>
      </c>
      <c r="AV189" s="8">
        <v>11.38</v>
      </c>
      <c r="AW189" s="6"/>
      <c r="AX189" s="6"/>
      <c r="AY189" s="6"/>
      <c r="AZ189" s="6"/>
      <c r="BA189" s="8">
        <v>4.7300000000000004</v>
      </c>
      <c r="BB189" s="8">
        <v>4.7300000000000004</v>
      </c>
      <c r="BC189" s="6"/>
      <c r="BD189" s="6"/>
      <c r="BE189" s="6"/>
      <c r="BF189" s="6"/>
      <c r="BG189" s="6"/>
      <c r="BH189" s="6"/>
      <c r="BI189" s="6"/>
      <c r="BJ189" s="6"/>
      <c r="BK189" s="6"/>
      <c r="BL189" s="8">
        <v>102.62</v>
      </c>
      <c r="BM189" s="6"/>
      <c r="BN189" s="6"/>
      <c r="BO189" s="6"/>
      <c r="BP189" s="6"/>
      <c r="BQ189" s="6"/>
      <c r="BR189" s="6"/>
      <c r="BS189" s="6"/>
      <c r="BT189" s="6"/>
      <c r="BU189" s="6"/>
      <c r="BV189" s="6"/>
      <c r="BW189" s="6"/>
      <c r="BX189" s="6"/>
      <c r="BY189" s="6"/>
      <c r="BZ189" s="6"/>
      <c r="CA189" s="6"/>
      <c r="CB189" s="6"/>
      <c r="CC189" s="6"/>
      <c r="CD189" s="6"/>
      <c r="CE189" s="6"/>
      <c r="CF189" s="6"/>
      <c r="CG189" s="9">
        <v>102.62</v>
      </c>
    </row>
    <row r="190" spans="1:85" x14ac:dyDescent="0.3">
      <c r="A190" s="3" t="str">
        <f t="shared" si="4"/>
        <v>NON ADDNSTC Crosscuts (excl. HSA)Networking &amp; Information Technology R&amp;D (NITRD)NITRD-CNPS-Computing-Enabled Networked Physical Systems</v>
      </c>
      <c r="B190" s="6" t="s">
        <v>223</v>
      </c>
      <c r="C190" s="6" t="s">
        <v>260</v>
      </c>
      <c r="D190" s="6" t="s">
        <v>267</v>
      </c>
      <c r="E190" s="6" t="s">
        <v>271</v>
      </c>
      <c r="F190" s="6"/>
      <c r="G190" s="6"/>
      <c r="H190" s="6"/>
      <c r="I190" s="6"/>
      <c r="J190" s="6"/>
      <c r="K190" s="8">
        <v>1</v>
      </c>
      <c r="L190" s="8">
        <v>1</v>
      </c>
      <c r="M190" s="6"/>
      <c r="N190" s="6"/>
      <c r="O190" s="6"/>
      <c r="P190" s="6"/>
      <c r="Q190" s="6"/>
      <c r="R190" s="8">
        <v>65.13</v>
      </c>
      <c r="S190" s="8">
        <v>65.13</v>
      </c>
      <c r="T190" s="6"/>
      <c r="U190" s="6"/>
      <c r="V190" s="6"/>
      <c r="W190" s="6"/>
      <c r="X190" s="6"/>
      <c r="Y190" s="6"/>
      <c r="Z190" s="8">
        <v>10</v>
      </c>
      <c r="AA190" s="8">
        <v>10</v>
      </c>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
        <v>65.34</v>
      </c>
      <c r="BB190" s="8">
        <v>65.34</v>
      </c>
      <c r="BC190" s="6"/>
      <c r="BD190" s="6"/>
      <c r="BE190" s="6"/>
      <c r="BF190" s="6"/>
      <c r="BG190" s="6"/>
      <c r="BH190" s="6"/>
      <c r="BI190" s="6"/>
      <c r="BJ190" s="6"/>
      <c r="BK190" s="6"/>
      <c r="BL190" s="8">
        <v>141.47</v>
      </c>
      <c r="BM190" s="6"/>
      <c r="BN190" s="6"/>
      <c r="BO190" s="6"/>
      <c r="BP190" s="6"/>
      <c r="BQ190" s="6"/>
      <c r="BR190" s="6"/>
      <c r="BS190" s="6"/>
      <c r="BT190" s="6"/>
      <c r="BU190" s="6"/>
      <c r="BV190" s="6"/>
      <c r="BW190" s="6"/>
      <c r="BX190" s="6"/>
      <c r="BY190" s="6"/>
      <c r="BZ190" s="6"/>
      <c r="CA190" s="6"/>
      <c r="CB190" s="6"/>
      <c r="CC190" s="6"/>
      <c r="CD190" s="6"/>
      <c r="CE190" s="6"/>
      <c r="CF190" s="6"/>
      <c r="CG190" s="9">
        <v>141.47</v>
      </c>
    </row>
    <row r="191" spans="1:85" x14ac:dyDescent="0.3">
      <c r="A191" s="3" t="str">
        <f t="shared" si="4"/>
        <v>NON ADDNSTC Crosscuts (excl. HSA)Networking &amp; Information Technology R&amp;D (NITRD)NITRD-CSP-Cyber Security &amp; Privacy</v>
      </c>
      <c r="B191" s="6" t="s">
        <v>223</v>
      </c>
      <c r="C191" s="6" t="s">
        <v>260</v>
      </c>
      <c r="D191" s="6" t="s">
        <v>267</v>
      </c>
      <c r="E191" s="6" t="s">
        <v>272</v>
      </c>
      <c r="F191" s="6"/>
      <c r="G191" s="6"/>
      <c r="H191" s="6"/>
      <c r="I191" s="6"/>
      <c r="J191" s="6"/>
      <c r="K191" s="6"/>
      <c r="L191" s="6"/>
      <c r="M191" s="6"/>
      <c r="N191" s="6"/>
      <c r="O191" s="6"/>
      <c r="P191" s="6"/>
      <c r="Q191" s="8">
        <v>0</v>
      </c>
      <c r="R191" s="8">
        <v>104.3</v>
      </c>
      <c r="S191" s="8">
        <v>104.3</v>
      </c>
      <c r="T191" s="6"/>
      <c r="U191" s="6"/>
      <c r="V191" s="6"/>
      <c r="W191" s="6"/>
      <c r="X191" s="6"/>
      <c r="Y191" s="6"/>
      <c r="Z191" s="8">
        <v>1.98</v>
      </c>
      <c r="AA191" s="8">
        <v>1.98</v>
      </c>
      <c r="AB191" s="6"/>
      <c r="AC191" s="6"/>
      <c r="AD191" s="6"/>
      <c r="AE191" s="6"/>
      <c r="AF191" s="6"/>
      <c r="AG191" s="6"/>
      <c r="AH191" s="6"/>
      <c r="AI191" s="6"/>
      <c r="AJ191" s="6"/>
      <c r="AK191" s="6"/>
      <c r="AL191" s="8">
        <v>2</v>
      </c>
      <c r="AM191" s="6"/>
      <c r="AN191" s="6"/>
      <c r="AO191" s="6"/>
      <c r="AP191" s="8">
        <v>2</v>
      </c>
      <c r="AQ191" s="8">
        <v>0</v>
      </c>
      <c r="AR191" s="6"/>
      <c r="AS191" s="8">
        <v>0</v>
      </c>
      <c r="AT191" s="8">
        <v>0</v>
      </c>
      <c r="AU191" s="8">
        <v>6</v>
      </c>
      <c r="AV191" s="8">
        <v>6</v>
      </c>
      <c r="AW191" s="6"/>
      <c r="AX191" s="6"/>
      <c r="AY191" s="6"/>
      <c r="AZ191" s="6"/>
      <c r="BA191" s="8">
        <v>15</v>
      </c>
      <c r="BB191" s="8">
        <v>15</v>
      </c>
      <c r="BC191" s="6"/>
      <c r="BD191" s="6"/>
      <c r="BE191" s="6"/>
      <c r="BF191" s="6"/>
      <c r="BG191" s="6"/>
      <c r="BH191" s="6"/>
      <c r="BI191" s="6"/>
      <c r="BJ191" s="6"/>
      <c r="BK191" s="6"/>
      <c r="BL191" s="8">
        <v>129.28</v>
      </c>
      <c r="BM191" s="6"/>
      <c r="BN191" s="6"/>
      <c r="BO191" s="6"/>
      <c r="BP191" s="6"/>
      <c r="BQ191" s="6"/>
      <c r="BR191" s="6"/>
      <c r="BS191" s="6"/>
      <c r="BT191" s="6"/>
      <c r="BU191" s="6"/>
      <c r="BV191" s="6"/>
      <c r="BW191" s="6"/>
      <c r="BX191" s="6"/>
      <c r="BY191" s="6"/>
      <c r="BZ191" s="6"/>
      <c r="CA191" s="6"/>
      <c r="CB191" s="6"/>
      <c r="CC191" s="6"/>
      <c r="CD191" s="6"/>
      <c r="CE191" s="6"/>
      <c r="CF191" s="6"/>
      <c r="CG191" s="9">
        <v>129.28</v>
      </c>
    </row>
    <row r="192" spans="1:85" x14ac:dyDescent="0.3">
      <c r="A192" s="3" t="str">
        <f t="shared" si="4"/>
        <v>NON ADDNSTC Crosscuts (excl. HSA)Networking &amp; Information Technology R&amp;D (NITRD)NITRD-EdW-Education and Workforce</v>
      </c>
      <c r="B192" s="6" t="s">
        <v>223</v>
      </c>
      <c r="C192" s="6" t="s">
        <v>260</v>
      </c>
      <c r="D192" s="6" t="s">
        <v>267</v>
      </c>
      <c r="E192" s="6" t="s">
        <v>273</v>
      </c>
      <c r="F192" s="6"/>
      <c r="G192" s="6"/>
      <c r="H192" s="6"/>
      <c r="I192" s="6"/>
      <c r="J192" s="6"/>
      <c r="K192" s="8">
        <v>6</v>
      </c>
      <c r="L192" s="8">
        <v>6</v>
      </c>
      <c r="M192" s="6"/>
      <c r="N192" s="6"/>
      <c r="O192" s="6"/>
      <c r="P192" s="6"/>
      <c r="Q192" s="6"/>
      <c r="R192" s="8">
        <v>84.61</v>
      </c>
      <c r="S192" s="8">
        <v>84.61</v>
      </c>
      <c r="T192" s="6"/>
      <c r="U192" s="6"/>
      <c r="V192" s="6"/>
      <c r="W192" s="6"/>
      <c r="X192" s="6"/>
      <c r="Y192" s="6"/>
      <c r="Z192" s="8">
        <v>3.94</v>
      </c>
      <c r="AA192" s="8">
        <v>3.94</v>
      </c>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
        <v>28.1</v>
      </c>
      <c r="BB192" s="8">
        <v>28.1</v>
      </c>
      <c r="BC192" s="6"/>
      <c r="BD192" s="6"/>
      <c r="BE192" s="6"/>
      <c r="BF192" s="6"/>
      <c r="BG192" s="6"/>
      <c r="BH192" s="6"/>
      <c r="BI192" s="6"/>
      <c r="BJ192" s="6"/>
      <c r="BK192" s="6"/>
      <c r="BL192" s="8">
        <v>122.65</v>
      </c>
      <c r="BM192" s="6"/>
      <c r="BN192" s="6"/>
      <c r="BO192" s="6"/>
      <c r="BP192" s="6"/>
      <c r="BQ192" s="8">
        <v>10</v>
      </c>
      <c r="BR192" s="8">
        <v>10</v>
      </c>
      <c r="BS192" s="8">
        <v>10</v>
      </c>
      <c r="BT192" s="6"/>
      <c r="BU192" s="6"/>
      <c r="BV192" s="6"/>
      <c r="BW192" s="6"/>
      <c r="BX192" s="6"/>
      <c r="BY192" s="6"/>
      <c r="BZ192" s="6"/>
      <c r="CA192" s="6"/>
      <c r="CB192" s="6"/>
      <c r="CC192" s="6"/>
      <c r="CD192" s="6"/>
      <c r="CE192" s="6"/>
      <c r="CF192" s="6"/>
      <c r="CG192" s="9">
        <v>132.65</v>
      </c>
    </row>
    <row r="193" spans="1:85" x14ac:dyDescent="0.3">
      <c r="A193" s="3" t="str">
        <f t="shared" si="4"/>
        <v>NON ADDNSTC Crosscuts (excl. HSA)Networking &amp; Information Technology R&amp;D (NITRD)NITRD-EHCS-Enabling-R&amp;D for High-Capability Computing System</v>
      </c>
      <c r="B193" s="6" t="s">
        <v>223</v>
      </c>
      <c r="C193" s="6" t="s">
        <v>260</v>
      </c>
      <c r="D193" s="6" t="s">
        <v>267</v>
      </c>
      <c r="E193" s="6" t="s">
        <v>274</v>
      </c>
      <c r="F193" s="6"/>
      <c r="G193" s="6"/>
      <c r="H193" s="6"/>
      <c r="I193" s="6"/>
      <c r="J193" s="6"/>
      <c r="K193" s="6"/>
      <c r="L193" s="6"/>
      <c r="M193" s="6"/>
      <c r="N193" s="6"/>
      <c r="O193" s="6"/>
      <c r="P193" s="6"/>
      <c r="Q193" s="6"/>
      <c r="R193" s="8">
        <v>118.09</v>
      </c>
      <c r="S193" s="8">
        <v>118.09</v>
      </c>
      <c r="T193" s="6"/>
      <c r="U193" s="6"/>
      <c r="V193" s="6"/>
      <c r="W193" s="6"/>
      <c r="X193" s="6"/>
      <c r="Y193" s="6"/>
      <c r="Z193" s="8">
        <v>1</v>
      </c>
      <c r="AA193" s="8">
        <v>1</v>
      </c>
      <c r="AB193" s="6"/>
      <c r="AC193" s="6"/>
      <c r="AD193" s="6"/>
      <c r="AE193" s="6"/>
      <c r="AF193" s="6"/>
      <c r="AG193" s="6"/>
      <c r="AH193" s="6"/>
      <c r="AI193" s="6"/>
      <c r="AJ193" s="8">
        <v>50</v>
      </c>
      <c r="AK193" s="8">
        <v>5</v>
      </c>
      <c r="AL193" s="8">
        <v>6</v>
      </c>
      <c r="AM193" s="6"/>
      <c r="AN193" s="6"/>
      <c r="AO193" s="6"/>
      <c r="AP193" s="8">
        <v>61</v>
      </c>
      <c r="AQ193" s="6"/>
      <c r="AR193" s="6"/>
      <c r="AS193" s="6"/>
      <c r="AT193" s="6"/>
      <c r="AU193" s="6"/>
      <c r="AV193" s="6"/>
      <c r="AW193" s="6"/>
      <c r="AX193" s="6"/>
      <c r="AY193" s="6"/>
      <c r="AZ193" s="6"/>
      <c r="BA193" s="8">
        <v>0.67</v>
      </c>
      <c r="BB193" s="8">
        <v>0.67</v>
      </c>
      <c r="BC193" s="6"/>
      <c r="BD193" s="6"/>
      <c r="BE193" s="6"/>
      <c r="BF193" s="6"/>
      <c r="BG193" s="6"/>
      <c r="BH193" s="6"/>
      <c r="BI193" s="6"/>
      <c r="BJ193" s="6"/>
      <c r="BK193" s="6"/>
      <c r="BL193" s="8">
        <v>180.76</v>
      </c>
      <c r="BM193" s="6"/>
      <c r="BN193" s="6"/>
      <c r="BO193" s="6"/>
      <c r="BP193" s="6"/>
      <c r="BQ193" s="6"/>
      <c r="BR193" s="6"/>
      <c r="BS193" s="6"/>
      <c r="BT193" s="6"/>
      <c r="BU193" s="6"/>
      <c r="BV193" s="6"/>
      <c r="BW193" s="6"/>
      <c r="BX193" s="6"/>
      <c r="BY193" s="6"/>
      <c r="BZ193" s="6"/>
      <c r="CA193" s="6"/>
      <c r="CB193" s="6"/>
      <c r="CC193" s="6"/>
      <c r="CD193" s="6"/>
      <c r="CE193" s="6"/>
      <c r="CF193" s="6"/>
      <c r="CG193" s="9">
        <v>180.76</v>
      </c>
    </row>
    <row r="194" spans="1:85" x14ac:dyDescent="0.3">
      <c r="A194" s="3" t="str">
        <f t="shared" si="4"/>
        <v>NON ADDNSTC Crosscuts (excl. HSA)Networking &amp; Information Technology R&amp;D (NITRD)NITRD-ENIT-Electronics for Networking &amp; Information Technology</v>
      </c>
      <c r="B194" s="6" t="s">
        <v>223</v>
      </c>
      <c r="C194" s="6" t="s">
        <v>260</v>
      </c>
      <c r="D194" s="6" t="s">
        <v>267</v>
      </c>
      <c r="E194" s="6" t="s">
        <v>275</v>
      </c>
      <c r="F194" s="6"/>
      <c r="G194" s="6"/>
      <c r="H194" s="6"/>
      <c r="I194" s="6"/>
      <c r="J194" s="6"/>
      <c r="K194" s="8">
        <v>2</v>
      </c>
      <c r="L194" s="8">
        <v>2</v>
      </c>
      <c r="M194" s="6"/>
      <c r="N194" s="6"/>
      <c r="O194" s="6"/>
      <c r="P194" s="6"/>
      <c r="Q194" s="6"/>
      <c r="R194" s="8">
        <v>25.46</v>
      </c>
      <c r="S194" s="8">
        <v>25.46</v>
      </c>
      <c r="T194" s="6"/>
      <c r="U194" s="6"/>
      <c r="V194" s="6"/>
      <c r="W194" s="6"/>
      <c r="X194" s="6"/>
      <c r="Y194" s="6"/>
      <c r="Z194" s="8">
        <v>5.49</v>
      </c>
      <c r="AA194" s="8">
        <v>5.49</v>
      </c>
      <c r="AB194" s="6"/>
      <c r="AC194" s="6"/>
      <c r="AD194" s="6"/>
      <c r="AE194" s="6"/>
      <c r="AF194" s="6"/>
      <c r="AG194" s="6"/>
      <c r="AH194" s="6"/>
      <c r="AI194" s="6"/>
      <c r="AJ194" s="8">
        <v>1</v>
      </c>
      <c r="AK194" s="8">
        <v>25</v>
      </c>
      <c r="AL194" s="6"/>
      <c r="AM194" s="6"/>
      <c r="AN194" s="6"/>
      <c r="AO194" s="6"/>
      <c r="AP194" s="8">
        <v>26</v>
      </c>
      <c r="AQ194" s="6"/>
      <c r="AR194" s="6"/>
      <c r="AS194" s="6"/>
      <c r="AT194" s="6"/>
      <c r="AU194" s="6"/>
      <c r="AV194" s="6"/>
      <c r="AW194" s="6"/>
      <c r="AX194" s="6"/>
      <c r="AY194" s="6"/>
      <c r="AZ194" s="6"/>
      <c r="BA194" s="8">
        <v>45.23</v>
      </c>
      <c r="BB194" s="8">
        <v>45.23</v>
      </c>
      <c r="BC194" s="6"/>
      <c r="BD194" s="6"/>
      <c r="BE194" s="6"/>
      <c r="BF194" s="6"/>
      <c r="BG194" s="6"/>
      <c r="BH194" s="6"/>
      <c r="BI194" s="6"/>
      <c r="BJ194" s="6"/>
      <c r="BK194" s="6"/>
      <c r="BL194" s="8">
        <v>104.18</v>
      </c>
      <c r="BM194" s="6"/>
      <c r="BN194" s="6"/>
      <c r="BO194" s="6"/>
      <c r="BP194" s="6"/>
      <c r="BQ194" s="6"/>
      <c r="BR194" s="6"/>
      <c r="BS194" s="6"/>
      <c r="BT194" s="6"/>
      <c r="BU194" s="6"/>
      <c r="BV194" s="6"/>
      <c r="BW194" s="6"/>
      <c r="BX194" s="6"/>
      <c r="BY194" s="6"/>
      <c r="BZ194" s="6"/>
      <c r="CA194" s="6"/>
      <c r="CB194" s="6"/>
      <c r="CC194" s="6"/>
      <c r="CD194" s="6"/>
      <c r="CE194" s="6"/>
      <c r="CF194" s="6"/>
      <c r="CG194" s="9">
        <v>104.18</v>
      </c>
    </row>
    <row r="195" spans="1:85" x14ac:dyDescent="0.3">
      <c r="A195" s="3" t="str">
        <f t="shared" si="4"/>
        <v>NON ADDNSTC Crosscuts (excl. HSA)Networking &amp; Information Technology R&amp;D (NITRD)NITRD-HCIA-High Capability Computing Infrastructure and Applications</v>
      </c>
      <c r="B195" s="6" t="s">
        <v>223</v>
      </c>
      <c r="C195" s="6" t="s">
        <v>260</v>
      </c>
      <c r="D195" s="6" t="s">
        <v>267</v>
      </c>
      <c r="E195" s="6" t="s">
        <v>276</v>
      </c>
      <c r="F195" s="6"/>
      <c r="G195" s="6"/>
      <c r="H195" s="6"/>
      <c r="I195" s="6"/>
      <c r="J195" s="6"/>
      <c r="K195" s="8">
        <v>2.5</v>
      </c>
      <c r="L195" s="8">
        <v>2.5</v>
      </c>
      <c r="M195" s="6"/>
      <c r="N195" s="6"/>
      <c r="O195" s="6"/>
      <c r="P195" s="6"/>
      <c r="Q195" s="6"/>
      <c r="R195" s="8">
        <v>133.26</v>
      </c>
      <c r="S195" s="8">
        <v>133.26</v>
      </c>
      <c r="T195" s="6"/>
      <c r="U195" s="6"/>
      <c r="V195" s="6"/>
      <c r="W195" s="6"/>
      <c r="X195" s="6"/>
      <c r="Y195" s="6"/>
      <c r="Z195" s="8">
        <v>8</v>
      </c>
      <c r="AA195" s="8">
        <v>8</v>
      </c>
      <c r="AB195" s="6"/>
      <c r="AC195" s="6"/>
      <c r="AD195" s="6"/>
      <c r="AE195" s="6"/>
      <c r="AF195" s="6"/>
      <c r="AG195" s="8">
        <v>25</v>
      </c>
      <c r="AH195" s="8">
        <v>25</v>
      </c>
      <c r="AI195" s="8">
        <v>0.5</v>
      </c>
      <c r="AJ195" s="8">
        <v>12</v>
      </c>
      <c r="AK195" s="8">
        <v>1.5</v>
      </c>
      <c r="AL195" s="6"/>
      <c r="AM195" s="6"/>
      <c r="AN195" s="8">
        <v>24</v>
      </c>
      <c r="AO195" s="6"/>
      <c r="AP195" s="8">
        <v>38</v>
      </c>
      <c r="AQ195" s="6"/>
      <c r="AR195" s="6"/>
      <c r="AS195" s="6"/>
      <c r="AT195" s="6"/>
      <c r="AU195" s="6"/>
      <c r="AV195" s="6"/>
      <c r="AW195" s="6"/>
      <c r="AX195" s="6"/>
      <c r="AY195" s="6"/>
      <c r="AZ195" s="6"/>
      <c r="BA195" s="8">
        <v>2.44</v>
      </c>
      <c r="BB195" s="8">
        <v>2.44</v>
      </c>
      <c r="BC195" s="6"/>
      <c r="BD195" s="6"/>
      <c r="BE195" s="6"/>
      <c r="BF195" s="6"/>
      <c r="BG195" s="6"/>
      <c r="BH195" s="6"/>
      <c r="BI195" s="6"/>
      <c r="BJ195" s="6"/>
      <c r="BK195" s="6"/>
      <c r="BL195" s="8">
        <v>209.2</v>
      </c>
      <c r="BM195" s="6"/>
      <c r="BN195" s="6"/>
      <c r="BO195" s="6"/>
      <c r="BP195" s="6"/>
      <c r="BQ195" s="6"/>
      <c r="BR195" s="6"/>
      <c r="BS195" s="6"/>
      <c r="BT195" s="6"/>
      <c r="BU195" s="6"/>
      <c r="BV195" s="6"/>
      <c r="BW195" s="6"/>
      <c r="BX195" s="6"/>
      <c r="BY195" s="6"/>
      <c r="BZ195" s="6"/>
      <c r="CA195" s="6"/>
      <c r="CB195" s="6"/>
      <c r="CC195" s="6"/>
      <c r="CD195" s="6"/>
      <c r="CE195" s="6"/>
      <c r="CF195" s="6"/>
      <c r="CG195" s="9">
        <v>209.2</v>
      </c>
    </row>
    <row r="196" spans="1:85" x14ac:dyDescent="0.3">
      <c r="A196" s="3" t="str">
        <f t="shared" si="4"/>
        <v>NON ADDNSTC Crosscuts (excl. HSA)Networking &amp; Information Technology R&amp;D (NITRD)NITRD-IRAS-Intelligent Robotics and Autonomous Systems</v>
      </c>
      <c r="B196" s="6" t="s">
        <v>223</v>
      </c>
      <c r="C196" s="6" t="s">
        <v>260</v>
      </c>
      <c r="D196" s="6" t="s">
        <v>267</v>
      </c>
      <c r="E196" s="6" t="s">
        <v>277</v>
      </c>
      <c r="F196" s="6"/>
      <c r="G196" s="6"/>
      <c r="H196" s="6"/>
      <c r="I196" s="6"/>
      <c r="J196" s="6"/>
      <c r="K196" s="6"/>
      <c r="L196" s="6"/>
      <c r="M196" s="6"/>
      <c r="N196" s="6"/>
      <c r="O196" s="6"/>
      <c r="P196" s="6"/>
      <c r="Q196" s="6"/>
      <c r="R196" s="8">
        <v>31.29</v>
      </c>
      <c r="S196" s="8">
        <v>31.29</v>
      </c>
      <c r="T196" s="6"/>
      <c r="U196" s="6"/>
      <c r="V196" s="6"/>
      <c r="W196" s="6"/>
      <c r="X196" s="6"/>
      <c r="Y196" s="6"/>
      <c r="Z196" s="8">
        <v>13</v>
      </c>
      <c r="AA196" s="8">
        <v>13</v>
      </c>
      <c r="AB196" s="6"/>
      <c r="AC196" s="6"/>
      <c r="AD196" s="6"/>
      <c r="AE196" s="6"/>
      <c r="AF196" s="6"/>
      <c r="AG196" s="6"/>
      <c r="AH196" s="6"/>
      <c r="AI196" s="6"/>
      <c r="AJ196" s="8">
        <v>0</v>
      </c>
      <c r="AK196" s="6"/>
      <c r="AL196" s="6"/>
      <c r="AM196" s="6"/>
      <c r="AN196" s="6"/>
      <c r="AO196" s="6"/>
      <c r="AP196" s="8">
        <v>0</v>
      </c>
      <c r="AQ196" s="6"/>
      <c r="AR196" s="6"/>
      <c r="AS196" s="6"/>
      <c r="AT196" s="6"/>
      <c r="AU196" s="6"/>
      <c r="AV196" s="6"/>
      <c r="AW196" s="6"/>
      <c r="AX196" s="6"/>
      <c r="AY196" s="6"/>
      <c r="AZ196" s="6"/>
      <c r="BA196" s="8">
        <v>19.07</v>
      </c>
      <c r="BB196" s="8">
        <v>19.07</v>
      </c>
      <c r="BC196" s="6"/>
      <c r="BD196" s="6"/>
      <c r="BE196" s="6"/>
      <c r="BF196" s="6"/>
      <c r="BG196" s="6"/>
      <c r="BH196" s="6"/>
      <c r="BI196" s="6"/>
      <c r="BJ196" s="6"/>
      <c r="BK196" s="6"/>
      <c r="BL196" s="8">
        <v>63.36</v>
      </c>
      <c r="BM196" s="6"/>
      <c r="BN196" s="6"/>
      <c r="BO196" s="6"/>
      <c r="BP196" s="6"/>
      <c r="BQ196" s="6"/>
      <c r="BR196" s="6"/>
      <c r="BS196" s="6"/>
      <c r="BT196" s="6"/>
      <c r="BU196" s="6"/>
      <c r="BV196" s="6"/>
      <c r="BW196" s="6"/>
      <c r="BX196" s="6"/>
      <c r="BY196" s="6"/>
      <c r="BZ196" s="6"/>
      <c r="CA196" s="6"/>
      <c r="CB196" s="6"/>
      <c r="CC196" s="6"/>
      <c r="CD196" s="6"/>
      <c r="CE196" s="6"/>
      <c r="CF196" s="6"/>
      <c r="CG196" s="9">
        <v>63.36</v>
      </c>
    </row>
    <row r="197" spans="1:85" x14ac:dyDescent="0.3">
      <c r="A197" s="3" t="str">
        <f t="shared" si="4"/>
        <v>NON ADDNSTC Crosscuts (excl. HSA)Networking &amp; Information Technology R&amp;D (NITRD)NITRD-LSDMA-Large-Scale Data Management and Analysis</v>
      </c>
      <c r="B197" s="6" t="s">
        <v>223</v>
      </c>
      <c r="C197" s="6" t="s">
        <v>260</v>
      </c>
      <c r="D197" s="6" t="s">
        <v>267</v>
      </c>
      <c r="E197" s="6" t="s">
        <v>278</v>
      </c>
      <c r="F197" s="6"/>
      <c r="G197" s="6"/>
      <c r="H197" s="6"/>
      <c r="I197" s="6"/>
      <c r="J197" s="6"/>
      <c r="K197" s="8">
        <v>43</v>
      </c>
      <c r="L197" s="8">
        <v>43</v>
      </c>
      <c r="M197" s="6"/>
      <c r="N197" s="6"/>
      <c r="O197" s="6"/>
      <c r="P197" s="6"/>
      <c r="Q197" s="6"/>
      <c r="R197" s="8">
        <v>124.14</v>
      </c>
      <c r="S197" s="8">
        <v>124.14</v>
      </c>
      <c r="T197" s="6"/>
      <c r="U197" s="6"/>
      <c r="V197" s="6"/>
      <c r="W197" s="6"/>
      <c r="X197" s="6"/>
      <c r="Y197" s="6"/>
      <c r="Z197" s="8">
        <v>5.8</v>
      </c>
      <c r="AA197" s="8">
        <v>5.8</v>
      </c>
      <c r="AB197" s="6"/>
      <c r="AC197" s="6"/>
      <c r="AD197" s="6"/>
      <c r="AE197" s="6"/>
      <c r="AF197" s="6"/>
      <c r="AG197" s="6"/>
      <c r="AH197" s="6"/>
      <c r="AI197" s="8">
        <v>4.6399999999999997</v>
      </c>
      <c r="AJ197" s="8">
        <v>4</v>
      </c>
      <c r="AK197" s="6"/>
      <c r="AL197" s="8">
        <v>2.5</v>
      </c>
      <c r="AM197" s="8">
        <v>0</v>
      </c>
      <c r="AN197" s="6"/>
      <c r="AO197" s="6"/>
      <c r="AP197" s="8">
        <v>11.14</v>
      </c>
      <c r="AQ197" s="8">
        <v>0</v>
      </c>
      <c r="AR197" s="6"/>
      <c r="AS197" s="8">
        <v>0</v>
      </c>
      <c r="AT197" s="8">
        <v>0</v>
      </c>
      <c r="AU197" s="8">
        <v>8.19</v>
      </c>
      <c r="AV197" s="8">
        <v>8.19</v>
      </c>
      <c r="AW197" s="6"/>
      <c r="AX197" s="6"/>
      <c r="AY197" s="6"/>
      <c r="AZ197" s="6"/>
      <c r="BA197" s="8">
        <v>57.79</v>
      </c>
      <c r="BB197" s="8">
        <v>57.79</v>
      </c>
      <c r="BC197" s="6"/>
      <c r="BD197" s="6"/>
      <c r="BE197" s="6"/>
      <c r="BF197" s="6"/>
      <c r="BG197" s="6"/>
      <c r="BH197" s="6"/>
      <c r="BI197" s="6"/>
      <c r="BJ197" s="6"/>
      <c r="BK197" s="6"/>
      <c r="BL197" s="8">
        <v>250.06</v>
      </c>
      <c r="BM197" s="6"/>
      <c r="BN197" s="6"/>
      <c r="BO197" s="6"/>
      <c r="BP197" s="6"/>
      <c r="BQ197" s="6"/>
      <c r="BR197" s="6"/>
      <c r="BS197" s="6"/>
      <c r="BT197" s="6"/>
      <c r="BU197" s="6"/>
      <c r="BV197" s="6"/>
      <c r="BW197" s="6"/>
      <c r="BX197" s="6"/>
      <c r="BY197" s="6"/>
      <c r="BZ197" s="6"/>
      <c r="CA197" s="6"/>
      <c r="CB197" s="6"/>
      <c r="CC197" s="6"/>
      <c r="CD197" s="6"/>
      <c r="CE197" s="6"/>
      <c r="CF197" s="6"/>
      <c r="CG197" s="9">
        <v>250.06</v>
      </c>
    </row>
    <row r="198" spans="1:85" x14ac:dyDescent="0.3">
      <c r="A198" s="3" t="str">
        <f t="shared" si="4"/>
        <v>NON ADDNSTC Crosscuts (excl. HSA)Networking &amp; Information Technology R&amp;D (NITRD)NITRD-SPSQ-Software Productivity, Sustainability and Quality</v>
      </c>
      <c r="B198" s="6" t="s">
        <v>223</v>
      </c>
      <c r="C198" s="6" t="s">
        <v>260</v>
      </c>
      <c r="D198" s="6" t="s">
        <v>267</v>
      </c>
      <c r="E198" s="6" t="s">
        <v>279</v>
      </c>
      <c r="F198" s="6"/>
      <c r="G198" s="6"/>
      <c r="H198" s="6"/>
      <c r="I198" s="6"/>
      <c r="J198" s="6"/>
      <c r="K198" s="8">
        <v>12.5</v>
      </c>
      <c r="L198" s="8">
        <v>12.5</v>
      </c>
      <c r="M198" s="6"/>
      <c r="N198" s="6"/>
      <c r="O198" s="6"/>
      <c r="P198" s="6"/>
      <c r="Q198" s="8">
        <v>0</v>
      </c>
      <c r="R198" s="8">
        <v>54.51</v>
      </c>
      <c r="S198" s="8">
        <v>54.51</v>
      </c>
      <c r="T198" s="6"/>
      <c r="U198" s="6"/>
      <c r="V198" s="6"/>
      <c r="W198" s="6"/>
      <c r="X198" s="6"/>
      <c r="Y198" s="6"/>
      <c r="Z198" s="8">
        <v>0.7</v>
      </c>
      <c r="AA198" s="8">
        <v>0.7</v>
      </c>
      <c r="AB198" s="6"/>
      <c r="AC198" s="6"/>
      <c r="AD198" s="6"/>
      <c r="AE198" s="6"/>
      <c r="AF198" s="6"/>
      <c r="AG198" s="6"/>
      <c r="AH198" s="6"/>
      <c r="AI198" s="6"/>
      <c r="AJ198" s="6"/>
      <c r="AK198" s="6"/>
      <c r="AL198" s="6"/>
      <c r="AM198" s="6"/>
      <c r="AN198" s="6"/>
      <c r="AO198" s="6"/>
      <c r="AP198" s="6"/>
      <c r="AQ198" s="8">
        <v>0</v>
      </c>
      <c r="AR198" s="8">
        <v>0</v>
      </c>
      <c r="AS198" s="8">
        <v>0</v>
      </c>
      <c r="AT198" s="8">
        <v>0</v>
      </c>
      <c r="AU198" s="8">
        <v>1.5</v>
      </c>
      <c r="AV198" s="8">
        <v>1.5</v>
      </c>
      <c r="AW198" s="6"/>
      <c r="AX198" s="6"/>
      <c r="AY198" s="6"/>
      <c r="AZ198" s="6"/>
      <c r="BA198" s="8">
        <v>12.07</v>
      </c>
      <c r="BB198" s="8">
        <v>12.07</v>
      </c>
      <c r="BC198" s="6"/>
      <c r="BD198" s="6"/>
      <c r="BE198" s="6"/>
      <c r="BF198" s="6"/>
      <c r="BG198" s="6"/>
      <c r="BH198" s="6"/>
      <c r="BI198" s="6"/>
      <c r="BJ198" s="6"/>
      <c r="BK198" s="6"/>
      <c r="BL198" s="8">
        <v>81.28</v>
      </c>
      <c r="BM198" s="6"/>
      <c r="BN198" s="6"/>
      <c r="BO198" s="6"/>
      <c r="BP198" s="6"/>
      <c r="BQ198" s="6"/>
      <c r="BR198" s="6"/>
      <c r="BS198" s="6"/>
      <c r="BT198" s="6"/>
      <c r="BU198" s="6"/>
      <c r="BV198" s="6"/>
      <c r="BW198" s="6"/>
      <c r="BX198" s="6"/>
      <c r="BY198" s="6"/>
      <c r="BZ198" s="6"/>
      <c r="CA198" s="6"/>
      <c r="CB198" s="6"/>
      <c r="CC198" s="6"/>
      <c r="CD198" s="6"/>
      <c r="CE198" s="6"/>
      <c r="CF198" s="6"/>
      <c r="CG198" s="9">
        <v>81.28</v>
      </c>
    </row>
    <row r="199" spans="1:85" x14ac:dyDescent="0.3">
      <c r="A199" s="3" t="str">
        <f t="shared" si="4"/>
        <v>NON ADDNSTC Crosscuts (excl. HSA)Quantum Information Science (QIS)Total</v>
      </c>
      <c r="B199" s="6" t="s">
        <v>223</v>
      </c>
      <c r="C199" s="6" t="s">
        <v>260</v>
      </c>
      <c r="D199" s="6" t="s">
        <v>280</v>
      </c>
      <c r="E199" s="6" t="s">
        <v>24</v>
      </c>
      <c r="F199" s="6"/>
      <c r="G199" s="6"/>
      <c r="H199" s="6"/>
      <c r="I199" s="6"/>
      <c r="J199" s="6"/>
      <c r="K199" s="8">
        <v>3.28</v>
      </c>
      <c r="L199" s="8">
        <v>3.28</v>
      </c>
      <c r="M199" s="6"/>
      <c r="N199" s="6"/>
      <c r="O199" s="6"/>
      <c r="P199" s="6"/>
      <c r="Q199" s="6"/>
      <c r="R199" s="8">
        <v>24.28</v>
      </c>
      <c r="S199" s="8">
        <v>24.28</v>
      </c>
      <c r="T199" s="6"/>
      <c r="U199" s="6"/>
      <c r="V199" s="6"/>
      <c r="W199" s="6"/>
      <c r="X199" s="6"/>
      <c r="Y199" s="6"/>
      <c r="Z199" s="8">
        <v>32.89</v>
      </c>
      <c r="AA199" s="8">
        <v>32.89</v>
      </c>
      <c r="AB199" s="6"/>
      <c r="AC199" s="6"/>
      <c r="AD199" s="6"/>
      <c r="AE199" s="6"/>
      <c r="AF199" s="6"/>
      <c r="AG199" s="6"/>
      <c r="AH199" s="6"/>
      <c r="AI199" s="6"/>
      <c r="AJ199" s="6"/>
      <c r="AK199" s="6"/>
      <c r="AL199" s="6"/>
      <c r="AM199" s="6"/>
      <c r="AN199" s="6"/>
      <c r="AO199" s="8">
        <v>156.13</v>
      </c>
      <c r="AP199" s="8">
        <v>156.13</v>
      </c>
      <c r="AQ199" s="6"/>
      <c r="AR199" s="6"/>
      <c r="AS199" s="6"/>
      <c r="AT199" s="6"/>
      <c r="AU199" s="6"/>
      <c r="AV199" s="6"/>
      <c r="AW199" s="6"/>
      <c r="AX199" s="6"/>
      <c r="AY199" s="6"/>
      <c r="AZ199" s="6"/>
      <c r="BA199" s="8">
        <v>38.42</v>
      </c>
      <c r="BB199" s="8">
        <v>38.42</v>
      </c>
      <c r="BC199" s="8">
        <v>1</v>
      </c>
      <c r="BD199" s="8">
        <v>1</v>
      </c>
      <c r="BE199" s="6"/>
      <c r="BF199" s="6"/>
      <c r="BG199" s="6"/>
      <c r="BH199" s="6"/>
      <c r="BI199" s="6"/>
      <c r="BJ199" s="6"/>
      <c r="BK199" s="6"/>
      <c r="BL199" s="8">
        <v>256</v>
      </c>
      <c r="BM199" s="6"/>
      <c r="BN199" s="6"/>
      <c r="BO199" s="6"/>
      <c r="BP199" s="6"/>
      <c r="BQ199" s="8">
        <v>5</v>
      </c>
      <c r="BR199" s="8">
        <v>5</v>
      </c>
      <c r="BS199" s="8">
        <v>5</v>
      </c>
      <c r="BT199" s="6"/>
      <c r="BU199" s="6"/>
      <c r="BV199" s="6"/>
      <c r="BW199" s="6"/>
      <c r="BX199" s="6"/>
      <c r="BY199" s="6"/>
      <c r="BZ199" s="6"/>
      <c r="CA199" s="6"/>
      <c r="CB199" s="6"/>
      <c r="CC199" s="6"/>
      <c r="CD199" s="6"/>
      <c r="CE199" s="6"/>
      <c r="CF199" s="6"/>
      <c r="CG199" s="9">
        <v>261</v>
      </c>
    </row>
    <row r="200" spans="1:85" x14ac:dyDescent="0.3">
      <c r="A200" s="3" t="str">
        <f t="shared" si="4"/>
        <v>NON ADDNSTC Crosscuts (excl. HSA)Quantum Information Science (QIS)QIS-QADV-Foundational Quantum Information Science Advances</v>
      </c>
      <c r="B200" s="6" t="s">
        <v>223</v>
      </c>
      <c r="C200" s="6" t="s">
        <v>260</v>
      </c>
      <c r="D200" s="6" t="s">
        <v>280</v>
      </c>
      <c r="E200" s="6" t="s">
        <v>281</v>
      </c>
      <c r="F200" s="6"/>
      <c r="G200" s="6"/>
      <c r="H200" s="6"/>
      <c r="I200" s="6"/>
      <c r="J200" s="6"/>
      <c r="K200" s="8">
        <v>1</v>
      </c>
      <c r="L200" s="8">
        <v>1</v>
      </c>
      <c r="M200" s="6"/>
      <c r="N200" s="6"/>
      <c r="O200" s="6"/>
      <c r="P200" s="6"/>
      <c r="Q200" s="6"/>
      <c r="R200" s="8">
        <v>3.9</v>
      </c>
      <c r="S200" s="8">
        <v>3.9</v>
      </c>
      <c r="T200" s="6"/>
      <c r="U200" s="6"/>
      <c r="V200" s="6"/>
      <c r="W200" s="6"/>
      <c r="X200" s="6"/>
      <c r="Y200" s="6"/>
      <c r="Z200" s="8">
        <v>5.92</v>
      </c>
      <c r="AA200" s="8">
        <v>5.92</v>
      </c>
      <c r="AB200" s="6"/>
      <c r="AC200" s="6"/>
      <c r="AD200" s="6"/>
      <c r="AE200" s="6"/>
      <c r="AF200" s="6"/>
      <c r="AG200" s="6"/>
      <c r="AH200" s="6"/>
      <c r="AI200" s="6"/>
      <c r="AJ200" s="6"/>
      <c r="AK200" s="6"/>
      <c r="AL200" s="6"/>
      <c r="AM200" s="6"/>
      <c r="AN200" s="6"/>
      <c r="AO200" s="8">
        <v>53.78</v>
      </c>
      <c r="AP200" s="8">
        <v>53.78</v>
      </c>
      <c r="AQ200" s="6"/>
      <c r="AR200" s="6"/>
      <c r="AS200" s="6"/>
      <c r="AT200" s="6"/>
      <c r="AU200" s="6"/>
      <c r="AV200" s="6"/>
      <c r="AW200" s="6"/>
      <c r="AX200" s="6"/>
      <c r="AY200" s="6"/>
      <c r="AZ200" s="6"/>
      <c r="BA200" s="8">
        <v>2.4</v>
      </c>
      <c r="BB200" s="8">
        <v>2.4</v>
      </c>
      <c r="BC200" s="8">
        <v>1</v>
      </c>
      <c r="BD200" s="8">
        <v>1</v>
      </c>
      <c r="BE200" s="6"/>
      <c r="BF200" s="6"/>
      <c r="BG200" s="6"/>
      <c r="BH200" s="6"/>
      <c r="BI200" s="6"/>
      <c r="BJ200" s="6"/>
      <c r="BK200" s="6"/>
      <c r="BL200" s="8">
        <v>68</v>
      </c>
      <c r="BM200" s="6"/>
      <c r="BN200" s="6"/>
      <c r="BO200" s="6"/>
      <c r="BP200" s="6"/>
      <c r="BQ200" s="8">
        <v>5</v>
      </c>
      <c r="BR200" s="8">
        <v>5</v>
      </c>
      <c r="BS200" s="8">
        <v>5</v>
      </c>
      <c r="BT200" s="6"/>
      <c r="BU200" s="6"/>
      <c r="BV200" s="6"/>
      <c r="BW200" s="6"/>
      <c r="BX200" s="6"/>
      <c r="BY200" s="6"/>
      <c r="BZ200" s="6"/>
      <c r="CA200" s="6"/>
      <c r="CB200" s="6"/>
      <c r="CC200" s="6"/>
      <c r="CD200" s="6"/>
      <c r="CE200" s="6"/>
      <c r="CF200" s="6"/>
      <c r="CG200" s="9">
        <v>73</v>
      </c>
    </row>
    <row r="201" spans="1:85" x14ac:dyDescent="0.3">
      <c r="A201" s="3" t="str">
        <f t="shared" ref="A201:A247" si="5">CONCATENATE(B201,C201,D201,E201)</f>
        <v>NON ADDNSTC Crosscuts (excl. HSA)Quantum Information Science (QIS)QIS-QCOMP-Quantum Computing</v>
      </c>
      <c r="B201" s="6" t="s">
        <v>223</v>
      </c>
      <c r="C201" s="6" t="s">
        <v>260</v>
      </c>
      <c r="D201" s="6" t="s">
        <v>280</v>
      </c>
      <c r="E201" s="6" t="s">
        <v>282</v>
      </c>
      <c r="F201" s="6"/>
      <c r="G201" s="6"/>
      <c r="H201" s="6"/>
      <c r="I201" s="6"/>
      <c r="J201" s="6"/>
      <c r="K201" s="6"/>
      <c r="L201" s="6"/>
      <c r="M201" s="6"/>
      <c r="N201" s="6"/>
      <c r="O201" s="6"/>
      <c r="P201" s="6"/>
      <c r="Q201" s="6"/>
      <c r="R201" s="8">
        <v>8.9</v>
      </c>
      <c r="S201" s="8">
        <v>8.9</v>
      </c>
      <c r="T201" s="6"/>
      <c r="U201" s="6"/>
      <c r="V201" s="6"/>
      <c r="W201" s="6"/>
      <c r="X201" s="6"/>
      <c r="Y201" s="6"/>
      <c r="Z201" s="8">
        <v>8.2200000000000006</v>
      </c>
      <c r="AA201" s="8">
        <v>8.2200000000000006</v>
      </c>
      <c r="AB201" s="6"/>
      <c r="AC201" s="6"/>
      <c r="AD201" s="6"/>
      <c r="AE201" s="6"/>
      <c r="AF201" s="6"/>
      <c r="AG201" s="6"/>
      <c r="AH201" s="6"/>
      <c r="AI201" s="6"/>
      <c r="AJ201" s="6"/>
      <c r="AK201" s="6"/>
      <c r="AL201" s="6"/>
      <c r="AM201" s="6"/>
      <c r="AN201" s="6"/>
      <c r="AO201" s="8">
        <v>38.6</v>
      </c>
      <c r="AP201" s="8">
        <v>38.6</v>
      </c>
      <c r="AQ201" s="6"/>
      <c r="AR201" s="6"/>
      <c r="AS201" s="6"/>
      <c r="AT201" s="6"/>
      <c r="AU201" s="6"/>
      <c r="AV201" s="6"/>
      <c r="AW201" s="6"/>
      <c r="AX201" s="6"/>
      <c r="AY201" s="6"/>
      <c r="AZ201" s="6"/>
      <c r="BA201" s="8">
        <v>8.99</v>
      </c>
      <c r="BB201" s="8">
        <v>8.99</v>
      </c>
      <c r="BC201" s="6"/>
      <c r="BD201" s="6"/>
      <c r="BE201" s="6"/>
      <c r="BF201" s="6"/>
      <c r="BG201" s="6"/>
      <c r="BH201" s="6"/>
      <c r="BI201" s="6"/>
      <c r="BJ201" s="6"/>
      <c r="BK201" s="6"/>
      <c r="BL201" s="8">
        <v>64.709999999999994</v>
      </c>
      <c r="BM201" s="6"/>
      <c r="BN201" s="6"/>
      <c r="BO201" s="6"/>
      <c r="BP201" s="6"/>
      <c r="BQ201" s="6"/>
      <c r="BR201" s="6"/>
      <c r="BS201" s="6"/>
      <c r="BT201" s="6"/>
      <c r="BU201" s="6"/>
      <c r="BV201" s="6"/>
      <c r="BW201" s="6"/>
      <c r="BX201" s="6"/>
      <c r="BY201" s="6"/>
      <c r="BZ201" s="6"/>
      <c r="CA201" s="6"/>
      <c r="CB201" s="6"/>
      <c r="CC201" s="6"/>
      <c r="CD201" s="6"/>
      <c r="CE201" s="6"/>
      <c r="CF201" s="6"/>
      <c r="CG201" s="9">
        <v>64.709999999999994</v>
      </c>
    </row>
    <row r="202" spans="1:85" x14ac:dyDescent="0.3">
      <c r="A202" s="3" t="str">
        <f t="shared" si="5"/>
        <v>NON ADDNSTC Crosscuts (excl. HSA)Quantum Information Science (QIS)QIS-QNET-Quantum Networks and Communications</v>
      </c>
      <c r="B202" s="6" t="s">
        <v>223</v>
      </c>
      <c r="C202" s="6" t="s">
        <v>260</v>
      </c>
      <c r="D202" s="6" t="s">
        <v>280</v>
      </c>
      <c r="E202" s="6" t="s">
        <v>283</v>
      </c>
      <c r="F202" s="6"/>
      <c r="G202" s="6"/>
      <c r="H202" s="6"/>
      <c r="I202" s="6"/>
      <c r="J202" s="6"/>
      <c r="K202" s="6"/>
      <c r="L202" s="6"/>
      <c r="M202" s="6"/>
      <c r="N202" s="6"/>
      <c r="O202" s="6"/>
      <c r="P202" s="6"/>
      <c r="Q202" s="6"/>
      <c r="R202" s="8">
        <v>5.78</v>
      </c>
      <c r="S202" s="8">
        <v>5.78</v>
      </c>
      <c r="T202" s="6"/>
      <c r="U202" s="6"/>
      <c r="V202" s="6"/>
      <c r="W202" s="6"/>
      <c r="X202" s="6"/>
      <c r="Y202" s="6"/>
      <c r="Z202" s="8">
        <v>13.15</v>
      </c>
      <c r="AA202" s="8">
        <v>13.15</v>
      </c>
      <c r="AB202" s="6"/>
      <c r="AC202" s="6"/>
      <c r="AD202" s="6"/>
      <c r="AE202" s="6"/>
      <c r="AF202" s="6"/>
      <c r="AG202" s="6"/>
      <c r="AH202" s="6"/>
      <c r="AI202" s="6"/>
      <c r="AJ202" s="6"/>
      <c r="AK202" s="6"/>
      <c r="AL202" s="6"/>
      <c r="AM202" s="6"/>
      <c r="AN202" s="6"/>
      <c r="AO202" s="8">
        <v>15.96</v>
      </c>
      <c r="AP202" s="8">
        <v>15.96</v>
      </c>
      <c r="AQ202" s="6"/>
      <c r="AR202" s="6"/>
      <c r="AS202" s="6"/>
      <c r="AT202" s="6"/>
      <c r="AU202" s="6"/>
      <c r="AV202" s="6"/>
      <c r="AW202" s="6"/>
      <c r="AX202" s="6"/>
      <c r="AY202" s="6"/>
      <c r="AZ202" s="6"/>
      <c r="BA202" s="8">
        <v>8.6999999999999993</v>
      </c>
      <c r="BB202" s="8">
        <v>8.6999999999999993</v>
      </c>
      <c r="BC202" s="6"/>
      <c r="BD202" s="6"/>
      <c r="BE202" s="6"/>
      <c r="BF202" s="6"/>
      <c r="BG202" s="6"/>
      <c r="BH202" s="6"/>
      <c r="BI202" s="6"/>
      <c r="BJ202" s="6"/>
      <c r="BK202" s="6"/>
      <c r="BL202" s="8">
        <v>43.59</v>
      </c>
      <c r="BM202" s="6"/>
      <c r="BN202" s="6"/>
      <c r="BO202" s="6"/>
      <c r="BP202" s="6"/>
      <c r="BQ202" s="6"/>
      <c r="BR202" s="6"/>
      <c r="BS202" s="6"/>
      <c r="BT202" s="6"/>
      <c r="BU202" s="6"/>
      <c r="BV202" s="6"/>
      <c r="BW202" s="6"/>
      <c r="BX202" s="6"/>
      <c r="BY202" s="6"/>
      <c r="BZ202" s="6"/>
      <c r="CA202" s="6"/>
      <c r="CB202" s="6"/>
      <c r="CC202" s="6"/>
      <c r="CD202" s="6"/>
      <c r="CE202" s="6"/>
      <c r="CF202" s="6"/>
      <c r="CG202" s="9">
        <v>43.59</v>
      </c>
    </row>
    <row r="203" spans="1:85" x14ac:dyDescent="0.3">
      <c r="A203" s="3" t="str">
        <f t="shared" si="5"/>
        <v>NON ADDNSTC Crosscuts (excl. HSA)Quantum Information Science (QIS)QIS-QSENS-Quantum Sensing and Metrology</v>
      </c>
      <c r="B203" s="6" t="s">
        <v>223</v>
      </c>
      <c r="C203" s="6" t="s">
        <v>260</v>
      </c>
      <c r="D203" s="6" t="s">
        <v>280</v>
      </c>
      <c r="E203" s="6" t="s">
        <v>284</v>
      </c>
      <c r="F203" s="6"/>
      <c r="G203" s="6"/>
      <c r="H203" s="6"/>
      <c r="I203" s="6"/>
      <c r="J203" s="6"/>
      <c r="K203" s="8">
        <v>1</v>
      </c>
      <c r="L203" s="8">
        <v>1</v>
      </c>
      <c r="M203" s="6"/>
      <c r="N203" s="6"/>
      <c r="O203" s="6"/>
      <c r="P203" s="6"/>
      <c r="Q203" s="6"/>
      <c r="R203" s="8">
        <v>1.81</v>
      </c>
      <c r="S203" s="8">
        <v>1.81</v>
      </c>
      <c r="T203" s="6"/>
      <c r="U203" s="6"/>
      <c r="V203" s="6"/>
      <c r="W203" s="6"/>
      <c r="X203" s="6"/>
      <c r="Y203" s="6"/>
      <c r="Z203" s="6"/>
      <c r="AA203" s="6"/>
      <c r="AB203" s="6"/>
      <c r="AC203" s="6"/>
      <c r="AD203" s="6"/>
      <c r="AE203" s="6"/>
      <c r="AF203" s="6"/>
      <c r="AG203" s="6"/>
      <c r="AH203" s="6"/>
      <c r="AI203" s="6"/>
      <c r="AJ203" s="6"/>
      <c r="AK203" s="6"/>
      <c r="AL203" s="6"/>
      <c r="AM203" s="6"/>
      <c r="AN203" s="6"/>
      <c r="AO203" s="8">
        <v>36.58</v>
      </c>
      <c r="AP203" s="8">
        <v>36.58</v>
      </c>
      <c r="AQ203" s="6"/>
      <c r="AR203" s="6"/>
      <c r="AS203" s="6"/>
      <c r="AT203" s="6"/>
      <c r="AU203" s="6"/>
      <c r="AV203" s="6"/>
      <c r="AW203" s="6"/>
      <c r="AX203" s="6"/>
      <c r="AY203" s="6"/>
      <c r="AZ203" s="6"/>
      <c r="BA203" s="8">
        <v>2.92</v>
      </c>
      <c r="BB203" s="8">
        <v>2.92</v>
      </c>
      <c r="BC203" s="6"/>
      <c r="BD203" s="6"/>
      <c r="BE203" s="6"/>
      <c r="BF203" s="6"/>
      <c r="BG203" s="6"/>
      <c r="BH203" s="6"/>
      <c r="BI203" s="6"/>
      <c r="BJ203" s="6"/>
      <c r="BK203" s="6"/>
      <c r="BL203" s="8">
        <v>42.31</v>
      </c>
      <c r="BM203" s="6"/>
      <c r="BN203" s="6"/>
      <c r="BO203" s="6"/>
      <c r="BP203" s="6"/>
      <c r="BQ203" s="6"/>
      <c r="BR203" s="6"/>
      <c r="BS203" s="6"/>
      <c r="BT203" s="6"/>
      <c r="BU203" s="6"/>
      <c r="BV203" s="6"/>
      <c r="BW203" s="6"/>
      <c r="BX203" s="6"/>
      <c r="BY203" s="6"/>
      <c r="BZ203" s="6"/>
      <c r="CA203" s="6"/>
      <c r="CB203" s="6"/>
      <c r="CC203" s="6"/>
      <c r="CD203" s="6"/>
      <c r="CE203" s="6"/>
      <c r="CF203" s="6"/>
      <c r="CG203" s="9">
        <v>42.31</v>
      </c>
    </row>
    <row r="204" spans="1:85" x14ac:dyDescent="0.3">
      <c r="A204" s="3" t="str">
        <f t="shared" si="5"/>
        <v>NON ADDNSTC Crosscuts (excl. HSA)Quantum Information Science (QIS)QIS-QTAPP-Future Applications</v>
      </c>
      <c r="B204" s="6" t="s">
        <v>223</v>
      </c>
      <c r="C204" s="6" t="s">
        <v>260</v>
      </c>
      <c r="D204" s="6" t="s">
        <v>280</v>
      </c>
      <c r="E204" s="6" t="s">
        <v>285</v>
      </c>
      <c r="F204" s="6"/>
      <c r="G204" s="6"/>
      <c r="H204" s="6"/>
      <c r="I204" s="6"/>
      <c r="J204" s="6"/>
      <c r="K204" s="8">
        <v>1.28</v>
      </c>
      <c r="L204" s="8">
        <v>1.28</v>
      </c>
      <c r="M204" s="6"/>
      <c r="N204" s="6"/>
      <c r="O204" s="6"/>
      <c r="P204" s="6"/>
      <c r="Q204" s="6"/>
      <c r="R204" s="6"/>
      <c r="S204" s="6"/>
      <c r="T204" s="6"/>
      <c r="U204" s="6"/>
      <c r="V204" s="6"/>
      <c r="W204" s="6"/>
      <c r="X204" s="6"/>
      <c r="Y204" s="6"/>
      <c r="Z204" s="8">
        <v>4.9400000000000004</v>
      </c>
      <c r="AA204" s="8">
        <v>4.9400000000000004</v>
      </c>
      <c r="AB204" s="6"/>
      <c r="AC204" s="6"/>
      <c r="AD204" s="6"/>
      <c r="AE204" s="6"/>
      <c r="AF204" s="6"/>
      <c r="AG204" s="6"/>
      <c r="AH204" s="6"/>
      <c r="AI204" s="6"/>
      <c r="AJ204" s="6"/>
      <c r="AK204" s="6"/>
      <c r="AL204" s="6"/>
      <c r="AM204" s="6"/>
      <c r="AN204" s="6"/>
      <c r="AO204" s="8">
        <v>2.75</v>
      </c>
      <c r="AP204" s="8">
        <v>2.75</v>
      </c>
      <c r="AQ204" s="6"/>
      <c r="AR204" s="6"/>
      <c r="AS204" s="6"/>
      <c r="AT204" s="6"/>
      <c r="AU204" s="6"/>
      <c r="AV204" s="6"/>
      <c r="AW204" s="6"/>
      <c r="AX204" s="6"/>
      <c r="AY204" s="6"/>
      <c r="AZ204" s="6"/>
      <c r="BA204" s="8">
        <v>12.64</v>
      </c>
      <c r="BB204" s="8">
        <v>12.64</v>
      </c>
      <c r="BC204" s="6"/>
      <c r="BD204" s="6"/>
      <c r="BE204" s="6"/>
      <c r="BF204" s="6"/>
      <c r="BG204" s="6"/>
      <c r="BH204" s="6"/>
      <c r="BI204" s="6"/>
      <c r="BJ204" s="6"/>
      <c r="BK204" s="6"/>
      <c r="BL204" s="8">
        <v>21.61</v>
      </c>
      <c r="BM204" s="6"/>
      <c r="BN204" s="6"/>
      <c r="BO204" s="6"/>
      <c r="BP204" s="6"/>
      <c r="BQ204" s="6"/>
      <c r="BR204" s="6"/>
      <c r="BS204" s="6"/>
      <c r="BT204" s="6"/>
      <c r="BU204" s="6"/>
      <c r="BV204" s="6"/>
      <c r="BW204" s="6"/>
      <c r="BX204" s="6"/>
      <c r="BY204" s="6"/>
      <c r="BZ204" s="6"/>
      <c r="CA204" s="6"/>
      <c r="CB204" s="6"/>
      <c r="CC204" s="6"/>
      <c r="CD204" s="6"/>
      <c r="CE204" s="6"/>
      <c r="CF204" s="6"/>
      <c r="CG204" s="9">
        <v>21.61</v>
      </c>
    </row>
    <row r="205" spans="1:85" x14ac:dyDescent="0.3">
      <c r="A205" s="3" t="str">
        <f t="shared" si="5"/>
        <v>NON ADDNSTC Crosscuts (excl. HSA)Quantum Information Science (QIS)QIS-QTRM-Risk Mitigation</v>
      </c>
      <c r="B205" s="6" t="s">
        <v>223</v>
      </c>
      <c r="C205" s="6" t="s">
        <v>260</v>
      </c>
      <c r="D205" s="6" t="s">
        <v>280</v>
      </c>
      <c r="E205" s="6" t="s">
        <v>286</v>
      </c>
      <c r="F205" s="6"/>
      <c r="G205" s="6"/>
      <c r="H205" s="6"/>
      <c r="I205" s="6"/>
      <c r="J205" s="6"/>
      <c r="K205" s="6"/>
      <c r="L205" s="6"/>
      <c r="M205" s="6"/>
      <c r="N205" s="6"/>
      <c r="O205" s="6"/>
      <c r="P205" s="6"/>
      <c r="Q205" s="6"/>
      <c r="R205" s="8">
        <v>3.89</v>
      </c>
      <c r="S205" s="8">
        <v>3.89</v>
      </c>
      <c r="T205" s="6"/>
      <c r="U205" s="6"/>
      <c r="V205" s="6"/>
      <c r="W205" s="6"/>
      <c r="X205" s="6"/>
      <c r="Y205" s="6"/>
      <c r="Z205" s="8">
        <v>0.66</v>
      </c>
      <c r="AA205" s="8">
        <v>0.66</v>
      </c>
      <c r="AB205" s="6"/>
      <c r="AC205" s="6"/>
      <c r="AD205" s="6"/>
      <c r="AE205" s="6"/>
      <c r="AF205" s="6"/>
      <c r="AG205" s="6"/>
      <c r="AH205" s="6"/>
      <c r="AI205" s="6"/>
      <c r="AJ205" s="6"/>
      <c r="AK205" s="6"/>
      <c r="AL205" s="6"/>
      <c r="AM205" s="6"/>
      <c r="AN205" s="6"/>
      <c r="AO205" s="8">
        <v>5.01</v>
      </c>
      <c r="AP205" s="8">
        <v>5.01</v>
      </c>
      <c r="AQ205" s="6"/>
      <c r="AR205" s="6"/>
      <c r="AS205" s="6"/>
      <c r="AT205" s="6"/>
      <c r="AU205" s="6"/>
      <c r="AV205" s="6"/>
      <c r="AW205" s="6"/>
      <c r="AX205" s="6"/>
      <c r="AY205" s="6"/>
      <c r="AZ205" s="6"/>
      <c r="BA205" s="8">
        <v>1.52</v>
      </c>
      <c r="BB205" s="8">
        <v>1.52</v>
      </c>
      <c r="BC205" s="6"/>
      <c r="BD205" s="6"/>
      <c r="BE205" s="6"/>
      <c r="BF205" s="6"/>
      <c r="BG205" s="6"/>
      <c r="BH205" s="6"/>
      <c r="BI205" s="6"/>
      <c r="BJ205" s="6"/>
      <c r="BK205" s="6"/>
      <c r="BL205" s="8">
        <v>11.08</v>
      </c>
      <c r="BM205" s="6"/>
      <c r="BN205" s="6"/>
      <c r="BO205" s="6"/>
      <c r="BP205" s="6"/>
      <c r="BQ205" s="6"/>
      <c r="BR205" s="6"/>
      <c r="BS205" s="6"/>
      <c r="BT205" s="6"/>
      <c r="BU205" s="6"/>
      <c r="BV205" s="6"/>
      <c r="BW205" s="6"/>
      <c r="BX205" s="6"/>
      <c r="BY205" s="6"/>
      <c r="BZ205" s="6"/>
      <c r="CA205" s="6"/>
      <c r="CB205" s="6"/>
      <c r="CC205" s="6"/>
      <c r="CD205" s="6"/>
      <c r="CE205" s="6"/>
      <c r="CF205" s="6"/>
      <c r="CG205" s="9">
        <v>11.08</v>
      </c>
    </row>
    <row r="206" spans="1:85" x14ac:dyDescent="0.3">
      <c r="A206" s="3" t="str">
        <f t="shared" si="5"/>
        <v>NON ADDNSTC Crosscuts (excl. HSA)Quantum Information Science (QIS)QIS-QTSUP-Supporting Technology</v>
      </c>
      <c r="B206" s="6" t="s">
        <v>223</v>
      </c>
      <c r="C206" s="6" t="s">
        <v>260</v>
      </c>
      <c r="D206" s="6" t="s">
        <v>280</v>
      </c>
      <c r="E206" s="6" t="s">
        <v>287</v>
      </c>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8">
        <v>3.45</v>
      </c>
      <c r="AP206" s="8">
        <v>3.45</v>
      </c>
      <c r="AQ206" s="6"/>
      <c r="AR206" s="6"/>
      <c r="AS206" s="6"/>
      <c r="AT206" s="6"/>
      <c r="AU206" s="6"/>
      <c r="AV206" s="6"/>
      <c r="AW206" s="6"/>
      <c r="AX206" s="6"/>
      <c r="AY206" s="6"/>
      <c r="AZ206" s="6"/>
      <c r="BA206" s="8">
        <v>1.25</v>
      </c>
      <c r="BB206" s="8">
        <v>1.25</v>
      </c>
      <c r="BC206" s="6"/>
      <c r="BD206" s="6"/>
      <c r="BE206" s="6"/>
      <c r="BF206" s="6"/>
      <c r="BG206" s="6"/>
      <c r="BH206" s="6"/>
      <c r="BI206" s="6"/>
      <c r="BJ206" s="6"/>
      <c r="BK206" s="6"/>
      <c r="BL206" s="8">
        <v>4.7</v>
      </c>
      <c r="BM206" s="6"/>
      <c r="BN206" s="6"/>
      <c r="BO206" s="6"/>
      <c r="BP206" s="6"/>
      <c r="BQ206" s="6"/>
      <c r="BR206" s="6"/>
      <c r="BS206" s="6"/>
      <c r="BT206" s="6"/>
      <c r="BU206" s="6"/>
      <c r="BV206" s="6"/>
      <c r="BW206" s="6"/>
      <c r="BX206" s="6"/>
      <c r="BY206" s="6"/>
      <c r="BZ206" s="6"/>
      <c r="CA206" s="6"/>
      <c r="CB206" s="6"/>
      <c r="CC206" s="6"/>
      <c r="CD206" s="6"/>
      <c r="CE206" s="6"/>
      <c r="CF206" s="6"/>
      <c r="CG206" s="9">
        <v>4.7</v>
      </c>
    </row>
    <row r="207" spans="1:85" x14ac:dyDescent="0.3">
      <c r="A207" s="3" t="str">
        <f t="shared" si="5"/>
        <v>NON ADDNSTC Crosscuts (excl. HSA)U.S. Global Change Research Program (USGCRP)Total</v>
      </c>
      <c r="B207" s="6" t="s">
        <v>223</v>
      </c>
      <c r="C207" s="6" t="s">
        <v>260</v>
      </c>
      <c r="D207" s="6" t="s">
        <v>288</v>
      </c>
      <c r="E207" s="6" t="s">
        <v>24</v>
      </c>
      <c r="F207" s="6"/>
      <c r="G207" s="6"/>
      <c r="H207" s="6"/>
      <c r="I207" s="6"/>
      <c r="J207" s="6"/>
      <c r="K207" s="8">
        <v>237.15</v>
      </c>
      <c r="L207" s="8">
        <v>237.15</v>
      </c>
      <c r="M207" s="6"/>
      <c r="N207" s="6"/>
      <c r="O207" s="6"/>
      <c r="P207" s="6"/>
      <c r="Q207" s="6"/>
      <c r="R207" s="8">
        <v>40</v>
      </c>
      <c r="S207" s="8">
        <v>40</v>
      </c>
      <c r="T207" s="6"/>
      <c r="U207" s="6"/>
      <c r="V207" s="6"/>
      <c r="W207" s="6"/>
      <c r="X207" s="6"/>
      <c r="Y207" s="6"/>
      <c r="Z207" s="6"/>
      <c r="AA207" s="6"/>
      <c r="AB207" s="6"/>
      <c r="AC207" s="6"/>
      <c r="AD207" s="6"/>
      <c r="AE207" s="8">
        <v>197.26</v>
      </c>
      <c r="AF207" s="8">
        <v>33.67</v>
      </c>
      <c r="AG207" s="8">
        <v>481.7</v>
      </c>
      <c r="AH207" s="8">
        <v>712.63</v>
      </c>
      <c r="AI207" s="6"/>
      <c r="AJ207" s="8">
        <v>11.7</v>
      </c>
      <c r="AK207" s="6"/>
      <c r="AL207" s="8">
        <v>2.93</v>
      </c>
      <c r="AM207" s="8">
        <v>20</v>
      </c>
      <c r="AN207" s="6"/>
      <c r="AO207" s="6"/>
      <c r="AP207" s="8">
        <v>34.630000000000003</v>
      </c>
      <c r="AQ207" s="8">
        <v>0</v>
      </c>
      <c r="AR207" s="6"/>
      <c r="AS207" s="8">
        <v>0</v>
      </c>
      <c r="AT207" s="8">
        <v>0</v>
      </c>
      <c r="AU207" s="8">
        <v>25.14</v>
      </c>
      <c r="AV207" s="8">
        <v>25.14</v>
      </c>
      <c r="AW207" s="6"/>
      <c r="AX207" s="6"/>
      <c r="AY207" s="6"/>
      <c r="AZ207" s="6"/>
      <c r="BA207" s="6"/>
      <c r="BB207" s="6"/>
      <c r="BC207" s="8">
        <v>5</v>
      </c>
      <c r="BD207" s="8">
        <v>5</v>
      </c>
      <c r="BE207" s="6"/>
      <c r="BF207" s="6"/>
      <c r="BG207" s="6"/>
      <c r="BH207" s="6"/>
      <c r="BI207" s="6"/>
      <c r="BJ207" s="6"/>
      <c r="BK207" s="6"/>
      <c r="BL207" s="8">
        <v>1054.55</v>
      </c>
      <c r="BM207" s="6"/>
      <c r="BN207" s="6"/>
      <c r="BO207" s="6"/>
      <c r="BP207" s="6"/>
      <c r="BQ207" s="6"/>
      <c r="BR207" s="6"/>
      <c r="BS207" s="6"/>
      <c r="BT207" s="6"/>
      <c r="BU207" s="6"/>
      <c r="BV207" s="6"/>
      <c r="BW207" s="6"/>
      <c r="BX207" s="6"/>
      <c r="BY207" s="6"/>
      <c r="BZ207" s="6"/>
      <c r="CA207" s="6"/>
      <c r="CB207" s="6"/>
      <c r="CC207" s="6"/>
      <c r="CD207" s="6"/>
      <c r="CE207" s="6"/>
      <c r="CF207" s="6"/>
      <c r="CG207" s="9">
        <v>1054.55</v>
      </c>
    </row>
    <row r="208" spans="1:85" x14ac:dyDescent="0.3">
      <c r="A208" s="3" t="str">
        <f t="shared" si="5"/>
        <v>NON ADDNSTC Crosscuts (excl. HSA)U.S. Global Change Research Program (USGCRP)USGCRP-Communication and Education</v>
      </c>
      <c r="B208" s="6" t="s">
        <v>223</v>
      </c>
      <c r="C208" s="6" t="s">
        <v>260</v>
      </c>
      <c r="D208" s="6" t="s">
        <v>288</v>
      </c>
      <c r="E208" s="6" t="s">
        <v>289</v>
      </c>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8">
        <v>0</v>
      </c>
      <c r="AG208" s="6"/>
      <c r="AH208" s="8">
        <v>0</v>
      </c>
      <c r="AI208" s="6"/>
      <c r="AJ208" s="6"/>
      <c r="AK208" s="6"/>
      <c r="AL208" s="6"/>
      <c r="AM208" s="8">
        <v>0</v>
      </c>
      <c r="AN208" s="6"/>
      <c r="AO208" s="6"/>
      <c r="AP208" s="8">
        <v>0</v>
      </c>
      <c r="AQ208" s="6"/>
      <c r="AR208" s="6"/>
      <c r="AS208" s="8">
        <v>0</v>
      </c>
      <c r="AT208" s="6"/>
      <c r="AU208" s="6"/>
      <c r="AV208" s="8">
        <v>0</v>
      </c>
      <c r="AW208" s="6"/>
      <c r="AX208" s="6"/>
      <c r="AY208" s="6"/>
      <c r="AZ208" s="6"/>
      <c r="BA208" s="6"/>
      <c r="BB208" s="6"/>
      <c r="BC208" s="6"/>
      <c r="BD208" s="6"/>
      <c r="BE208" s="6"/>
      <c r="BF208" s="6"/>
      <c r="BG208" s="6"/>
      <c r="BH208" s="6"/>
      <c r="BI208" s="6"/>
      <c r="BJ208" s="6"/>
      <c r="BK208" s="6"/>
      <c r="BL208" s="8">
        <v>0</v>
      </c>
      <c r="BM208" s="6"/>
      <c r="BN208" s="6"/>
      <c r="BO208" s="6"/>
      <c r="BP208" s="6"/>
      <c r="BQ208" s="6"/>
      <c r="BR208" s="6"/>
      <c r="BS208" s="6"/>
      <c r="BT208" s="6"/>
      <c r="BU208" s="6"/>
      <c r="BV208" s="6"/>
      <c r="BW208" s="6"/>
      <c r="BX208" s="6"/>
      <c r="BY208" s="6"/>
      <c r="BZ208" s="6"/>
      <c r="CA208" s="6"/>
      <c r="CB208" s="6"/>
      <c r="CC208" s="6"/>
      <c r="CD208" s="6"/>
      <c r="CE208" s="6"/>
      <c r="CF208" s="6"/>
      <c r="CG208" s="9">
        <v>0</v>
      </c>
    </row>
    <row r="209" spans="1:85" x14ac:dyDescent="0.3">
      <c r="A209" s="3" t="str">
        <f t="shared" si="5"/>
        <v>NON ADDNSTC Crosscuts (excl. HSA)U.S. Global Change Research Program (USGCRP)USGCRP-Information Management and Sharing</v>
      </c>
      <c r="B209" s="6" t="s">
        <v>223</v>
      </c>
      <c r="C209" s="6" t="s">
        <v>260</v>
      </c>
      <c r="D209" s="6" t="s">
        <v>288</v>
      </c>
      <c r="E209" s="6" t="s">
        <v>354</v>
      </c>
      <c r="F209" s="6"/>
      <c r="G209" s="6"/>
      <c r="H209" s="6"/>
      <c r="I209" s="6"/>
      <c r="J209" s="6"/>
      <c r="K209" s="6"/>
      <c r="L209" s="6"/>
      <c r="M209" s="6"/>
      <c r="N209" s="6"/>
      <c r="O209" s="6"/>
      <c r="P209" s="6"/>
      <c r="Q209" s="6"/>
      <c r="R209" s="8">
        <v>40</v>
      </c>
      <c r="S209" s="8">
        <v>40</v>
      </c>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8">
        <v>40</v>
      </c>
      <c r="BM209" s="6"/>
      <c r="BN209" s="6"/>
      <c r="BO209" s="6"/>
      <c r="BP209" s="6"/>
      <c r="BQ209" s="6"/>
      <c r="BR209" s="6"/>
      <c r="BS209" s="6"/>
      <c r="BT209" s="6"/>
      <c r="BU209" s="6"/>
      <c r="BV209" s="6"/>
      <c r="BW209" s="6"/>
      <c r="BX209" s="6"/>
      <c r="BY209" s="6"/>
      <c r="BZ209" s="6"/>
      <c r="CA209" s="6"/>
      <c r="CB209" s="6"/>
      <c r="CC209" s="6"/>
      <c r="CD209" s="6"/>
      <c r="CE209" s="6"/>
      <c r="CF209" s="6"/>
      <c r="CG209" s="9">
        <v>40</v>
      </c>
    </row>
    <row r="210" spans="1:85" x14ac:dyDescent="0.3">
      <c r="A210" s="3" t="str">
        <f t="shared" si="5"/>
        <v>NON ADDNSTC Crosscuts (excl. HSA)U.S. Global Change Research Program (USGCRP)USGCRP-Integrated Modeling</v>
      </c>
      <c r="B210" s="6" t="s">
        <v>223</v>
      </c>
      <c r="C210" s="6" t="s">
        <v>260</v>
      </c>
      <c r="D210" s="6" t="s">
        <v>288</v>
      </c>
      <c r="E210" s="6" t="s">
        <v>290</v>
      </c>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8">
        <v>33.43</v>
      </c>
      <c r="AF210" s="6"/>
      <c r="AG210" s="8">
        <v>38.69</v>
      </c>
      <c r="AH210" s="8">
        <v>72.12</v>
      </c>
      <c r="AI210" s="6"/>
      <c r="AJ210" s="8">
        <v>11.7</v>
      </c>
      <c r="AK210" s="6"/>
      <c r="AL210" s="8">
        <v>2.93</v>
      </c>
      <c r="AM210" s="8">
        <v>0</v>
      </c>
      <c r="AN210" s="6"/>
      <c r="AO210" s="6"/>
      <c r="AP210" s="8">
        <v>14.63</v>
      </c>
      <c r="AQ210" s="8">
        <v>0</v>
      </c>
      <c r="AR210" s="6"/>
      <c r="AS210" s="6"/>
      <c r="AT210" s="8">
        <v>0</v>
      </c>
      <c r="AU210" s="8">
        <v>4.46</v>
      </c>
      <c r="AV210" s="8">
        <v>4.46</v>
      </c>
      <c r="AW210" s="6"/>
      <c r="AX210" s="6"/>
      <c r="AY210" s="6"/>
      <c r="AZ210" s="6"/>
      <c r="BA210" s="6"/>
      <c r="BB210" s="6"/>
      <c r="BC210" s="6"/>
      <c r="BD210" s="6"/>
      <c r="BE210" s="6"/>
      <c r="BF210" s="6"/>
      <c r="BG210" s="6"/>
      <c r="BH210" s="6"/>
      <c r="BI210" s="6"/>
      <c r="BJ210" s="6"/>
      <c r="BK210" s="6"/>
      <c r="BL210" s="8">
        <v>91.21</v>
      </c>
      <c r="BM210" s="6"/>
      <c r="BN210" s="6"/>
      <c r="BO210" s="6"/>
      <c r="BP210" s="6"/>
      <c r="BQ210" s="6"/>
      <c r="BR210" s="6"/>
      <c r="BS210" s="6"/>
      <c r="BT210" s="6"/>
      <c r="BU210" s="6"/>
      <c r="BV210" s="6"/>
      <c r="BW210" s="6"/>
      <c r="BX210" s="6"/>
      <c r="BY210" s="6"/>
      <c r="BZ210" s="6"/>
      <c r="CA210" s="6"/>
      <c r="CB210" s="6"/>
      <c r="CC210" s="6"/>
      <c r="CD210" s="6"/>
      <c r="CE210" s="6"/>
      <c r="CF210" s="6"/>
      <c r="CG210" s="9">
        <v>91.21</v>
      </c>
    </row>
    <row r="211" spans="1:85" x14ac:dyDescent="0.3">
      <c r="A211" s="3" t="str">
        <f t="shared" si="5"/>
        <v>NON ADDNSTC Crosscuts (excl. HSA)U.S. Global Change Research Program (USGCRP)USGCRP-Integrated Observations</v>
      </c>
      <c r="B211" s="6" t="s">
        <v>223</v>
      </c>
      <c r="C211" s="6" t="s">
        <v>260</v>
      </c>
      <c r="D211" s="6" t="s">
        <v>288</v>
      </c>
      <c r="E211" s="6" t="s">
        <v>291</v>
      </c>
      <c r="F211" s="6"/>
      <c r="G211" s="6"/>
      <c r="H211" s="6"/>
      <c r="I211" s="6"/>
      <c r="J211" s="6"/>
      <c r="K211" s="8">
        <v>70</v>
      </c>
      <c r="L211" s="8">
        <v>70</v>
      </c>
      <c r="M211" s="6"/>
      <c r="N211" s="6"/>
      <c r="O211" s="6"/>
      <c r="P211" s="6"/>
      <c r="Q211" s="6"/>
      <c r="R211" s="6"/>
      <c r="S211" s="6"/>
      <c r="T211" s="6"/>
      <c r="U211" s="6"/>
      <c r="V211" s="6"/>
      <c r="W211" s="6"/>
      <c r="X211" s="6"/>
      <c r="Y211" s="6"/>
      <c r="Z211" s="6"/>
      <c r="AA211" s="6"/>
      <c r="AB211" s="6"/>
      <c r="AC211" s="6"/>
      <c r="AD211" s="6"/>
      <c r="AE211" s="8">
        <v>105.26</v>
      </c>
      <c r="AF211" s="6"/>
      <c r="AG211" s="8">
        <v>94.77</v>
      </c>
      <c r="AH211" s="8">
        <v>200.03</v>
      </c>
      <c r="AI211" s="6"/>
      <c r="AJ211" s="6"/>
      <c r="AK211" s="6"/>
      <c r="AL211" s="6"/>
      <c r="AM211" s="8">
        <v>0</v>
      </c>
      <c r="AN211" s="6"/>
      <c r="AO211" s="6"/>
      <c r="AP211" s="8">
        <v>0</v>
      </c>
      <c r="AQ211" s="6"/>
      <c r="AR211" s="6"/>
      <c r="AS211" s="8">
        <v>0</v>
      </c>
      <c r="AT211" s="6"/>
      <c r="AU211" s="6"/>
      <c r="AV211" s="8">
        <v>0</v>
      </c>
      <c r="AW211" s="6"/>
      <c r="AX211" s="6"/>
      <c r="AY211" s="6"/>
      <c r="AZ211" s="6"/>
      <c r="BA211" s="6"/>
      <c r="BB211" s="6"/>
      <c r="BC211" s="6"/>
      <c r="BD211" s="6"/>
      <c r="BE211" s="6"/>
      <c r="BF211" s="6"/>
      <c r="BG211" s="6"/>
      <c r="BH211" s="6"/>
      <c r="BI211" s="6"/>
      <c r="BJ211" s="6"/>
      <c r="BK211" s="6"/>
      <c r="BL211" s="8">
        <v>270.02999999999997</v>
      </c>
      <c r="BM211" s="6"/>
      <c r="BN211" s="6"/>
      <c r="BO211" s="6"/>
      <c r="BP211" s="6"/>
      <c r="BQ211" s="6"/>
      <c r="BR211" s="6"/>
      <c r="BS211" s="6"/>
      <c r="BT211" s="6"/>
      <c r="BU211" s="6"/>
      <c r="BV211" s="6"/>
      <c r="BW211" s="6"/>
      <c r="BX211" s="6"/>
      <c r="BY211" s="6"/>
      <c r="BZ211" s="6"/>
      <c r="CA211" s="6"/>
      <c r="CB211" s="6"/>
      <c r="CC211" s="6"/>
      <c r="CD211" s="6"/>
      <c r="CE211" s="6"/>
      <c r="CF211" s="6"/>
      <c r="CG211" s="9">
        <v>270.02999999999997</v>
      </c>
    </row>
    <row r="212" spans="1:85" x14ac:dyDescent="0.3">
      <c r="A212" s="3" t="str">
        <f t="shared" si="5"/>
        <v>NON ADDNSTC Crosscuts (excl. HSA)U.S. Global Change Research Program (USGCRP)USGCRP-Multidisciplinary Earth and Human System Understanding</v>
      </c>
      <c r="B212" s="6" t="s">
        <v>223</v>
      </c>
      <c r="C212" s="6" t="s">
        <v>260</v>
      </c>
      <c r="D212" s="6" t="s">
        <v>288</v>
      </c>
      <c r="E212" s="6" t="s">
        <v>292</v>
      </c>
      <c r="F212" s="6"/>
      <c r="G212" s="6"/>
      <c r="H212" s="6"/>
      <c r="I212" s="6"/>
      <c r="J212" s="6"/>
      <c r="K212" s="8">
        <v>167.15</v>
      </c>
      <c r="L212" s="8">
        <v>167.15</v>
      </c>
      <c r="M212" s="6"/>
      <c r="N212" s="6"/>
      <c r="O212" s="6"/>
      <c r="P212" s="6"/>
      <c r="Q212" s="6"/>
      <c r="R212" s="6"/>
      <c r="S212" s="6"/>
      <c r="T212" s="6"/>
      <c r="U212" s="6"/>
      <c r="V212" s="6"/>
      <c r="W212" s="6"/>
      <c r="X212" s="6"/>
      <c r="Y212" s="6"/>
      <c r="Z212" s="6"/>
      <c r="AA212" s="6"/>
      <c r="AB212" s="6"/>
      <c r="AC212" s="6"/>
      <c r="AD212" s="6"/>
      <c r="AE212" s="8">
        <v>58.57</v>
      </c>
      <c r="AF212" s="8">
        <v>33.67</v>
      </c>
      <c r="AG212" s="8">
        <v>342.24</v>
      </c>
      <c r="AH212" s="8">
        <v>434.48</v>
      </c>
      <c r="AI212" s="6"/>
      <c r="AJ212" s="6"/>
      <c r="AK212" s="6"/>
      <c r="AL212" s="6"/>
      <c r="AM212" s="8">
        <v>20</v>
      </c>
      <c r="AN212" s="6"/>
      <c r="AO212" s="6"/>
      <c r="AP212" s="8">
        <v>20</v>
      </c>
      <c r="AQ212" s="8">
        <v>0</v>
      </c>
      <c r="AR212" s="6"/>
      <c r="AS212" s="6"/>
      <c r="AT212" s="8">
        <v>0</v>
      </c>
      <c r="AU212" s="8">
        <v>12.98</v>
      </c>
      <c r="AV212" s="8">
        <v>12.98</v>
      </c>
      <c r="AW212" s="6"/>
      <c r="AX212" s="6"/>
      <c r="AY212" s="6"/>
      <c r="AZ212" s="6"/>
      <c r="BA212" s="6"/>
      <c r="BB212" s="6"/>
      <c r="BC212" s="8">
        <v>5</v>
      </c>
      <c r="BD212" s="8">
        <v>5</v>
      </c>
      <c r="BE212" s="6"/>
      <c r="BF212" s="6"/>
      <c r="BG212" s="6"/>
      <c r="BH212" s="6"/>
      <c r="BI212" s="6"/>
      <c r="BJ212" s="6"/>
      <c r="BK212" s="6"/>
      <c r="BL212" s="8">
        <v>639.61</v>
      </c>
      <c r="BM212" s="6"/>
      <c r="BN212" s="6"/>
      <c r="BO212" s="6"/>
      <c r="BP212" s="6"/>
      <c r="BQ212" s="6"/>
      <c r="BR212" s="6"/>
      <c r="BS212" s="6"/>
      <c r="BT212" s="6"/>
      <c r="BU212" s="6"/>
      <c r="BV212" s="6"/>
      <c r="BW212" s="6"/>
      <c r="BX212" s="6"/>
      <c r="BY212" s="6"/>
      <c r="BZ212" s="6"/>
      <c r="CA212" s="6"/>
      <c r="CB212" s="6"/>
      <c r="CC212" s="6"/>
      <c r="CD212" s="6"/>
      <c r="CE212" s="6"/>
      <c r="CF212" s="6"/>
      <c r="CG212" s="9">
        <v>639.61</v>
      </c>
    </row>
    <row r="213" spans="1:85" x14ac:dyDescent="0.3">
      <c r="A213" s="3" t="str">
        <f t="shared" si="5"/>
        <v>NON ADDNSTC Crosscuts (excl. HSA)U.S. Global Change Research Program (USGCRP)USGCRP-Science of Adaptation and Science to Inform Adaptation Decisions</v>
      </c>
      <c r="B213" s="6" t="s">
        <v>223</v>
      </c>
      <c r="C213" s="6" t="s">
        <v>260</v>
      </c>
      <c r="D213" s="6" t="s">
        <v>288</v>
      </c>
      <c r="E213" s="6" t="s">
        <v>293</v>
      </c>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8">
        <v>0</v>
      </c>
      <c r="AF213" s="6"/>
      <c r="AG213" s="8">
        <v>6</v>
      </c>
      <c r="AH213" s="8">
        <v>6</v>
      </c>
      <c r="AI213" s="6"/>
      <c r="AJ213" s="6"/>
      <c r="AK213" s="6"/>
      <c r="AL213" s="6"/>
      <c r="AM213" s="8">
        <v>0</v>
      </c>
      <c r="AN213" s="6"/>
      <c r="AO213" s="6"/>
      <c r="AP213" s="8">
        <v>0</v>
      </c>
      <c r="AQ213" s="8">
        <v>0</v>
      </c>
      <c r="AR213" s="6"/>
      <c r="AS213" s="6"/>
      <c r="AT213" s="8">
        <v>0</v>
      </c>
      <c r="AU213" s="8">
        <v>7.7</v>
      </c>
      <c r="AV213" s="8">
        <v>7.7</v>
      </c>
      <c r="AW213" s="6"/>
      <c r="AX213" s="6"/>
      <c r="AY213" s="6"/>
      <c r="AZ213" s="6"/>
      <c r="BA213" s="6"/>
      <c r="BB213" s="6"/>
      <c r="BC213" s="6"/>
      <c r="BD213" s="6"/>
      <c r="BE213" s="6"/>
      <c r="BF213" s="6"/>
      <c r="BG213" s="6"/>
      <c r="BH213" s="6"/>
      <c r="BI213" s="6"/>
      <c r="BJ213" s="6"/>
      <c r="BK213" s="6"/>
      <c r="BL213" s="8">
        <v>13.7</v>
      </c>
      <c r="BM213" s="6"/>
      <c r="BN213" s="6"/>
      <c r="BO213" s="6"/>
      <c r="BP213" s="6"/>
      <c r="BQ213" s="6"/>
      <c r="BR213" s="6"/>
      <c r="BS213" s="6"/>
      <c r="BT213" s="6"/>
      <c r="BU213" s="6"/>
      <c r="BV213" s="6"/>
      <c r="BW213" s="6"/>
      <c r="BX213" s="6"/>
      <c r="BY213" s="6"/>
      <c r="BZ213" s="6"/>
      <c r="CA213" s="6"/>
      <c r="CB213" s="6"/>
      <c r="CC213" s="6"/>
      <c r="CD213" s="6"/>
      <c r="CE213" s="6"/>
      <c r="CF213" s="6"/>
      <c r="CG213" s="9">
        <v>13.7</v>
      </c>
    </row>
    <row r="214" spans="1:85" x14ac:dyDescent="0.3">
      <c r="A214" s="3" t="str">
        <f t="shared" si="5"/>
        <v>NON ADDOther Non-ADDTotalTotal</v>
      </c>
      <c r="B214" s="6" t="s">
        <v>223</v>
      </c>
      <c r="C214" s="6" t="s">
        <v>294</v>
      </c>
      <c r="D214" s="6" t="s">
        <v>24</v>
      </c>
      <c r="E214" s="6" t="s">
        <v>24</v>
      </c>
      <c r="F214" s="8">
        <v>0</v>
      </c>
      <c r="G214" s="8">
        <v>0</v>
      </c>
      <c r="H214" s="6"/>
      <c r="I214" s="8">
        <v>0</v>
      </c>
      <c r="J214" s="8">
        <v>0</v>
      </c>
      <c r="K214" s="8">
        <v>225.76</v>
      </c>
      <c r="L214" s="8">
        <v>225.76</v>
      </c>
      <c r="M214" s="6"/>
      <c r="N214" s="6"/>
      <c r="O214" s="6"/>
      <c r="P214" s="6"/>
      <c r="Q214" s="8">
        <v>0</v>
      </c>
      <c r="R214" s="8">
        <v>138.75</v>
      </c>
      <c r="S214" s="8">
        <v>138.75</v>
      </c>
      <c r="T214" s="8">
        <v>45.7</v>
      </c>
      <c r="U214" s="8">
        <v>33.700000000000003</v>
      </c>
      <c r="V214" s="8">
        <v>18.649999999999999</v>
      </c>
      <c r="W214" s="6"/>
      <c r="X214" s="6"/>
      <c r="Y214" s="6"/>
      <c r="Z214" s="8">
        <v>172.4</v>
      </c>
      <c r="AA214" s="8">
        <v>270.45</v>
      </c>
      <c r="AB214" s="8">
        <v>10.85</v>
      </c>
      <c r="AC214" s="8">
        <v>26.11</v>
      </c>
      <c r="AD214" s="8">
        <v>6.2</v>
      </c>
      <c r="AE214" s="8">
        <v>14.56</v>
      </c>
      <c r="AF214" s="8">
        <v>0</v>
      </c>
      <c r="AG214" s="8">
        <v>173.3</v>
      </c>
      <c r="AH214" s="8">
        <v>231.02</v>
      </c>
      <c r="AI214" s="8">
        <v>7.56</v>
      </c>
      <c r="AJ214" s="8">
        <v>38.08</v>
      </c>
      <c r="AK214" s="8">
        <v>41.79</v>
      </c>
      <c r="AL214" s="8">
        <v>17.3</v>
      </c>
      <c r="AM214" s="8">
        <v>30</v>
      </c>
      <c r="AN214" s="8">
        <v>15.38</v>
      </c>
      <c r="AO214" s="8">
        <v>50</v>
      </c>
      <c r="AP214" s="8">
        <v>200.11</v>
      </c>
      <c r="AQ214" s="8">
        <v>0</v>
      </c>
      <c r="AR214" s="6"/>
      <c r="AS214" s="6"/>
      <c r="AT214" s="8">
        <v>0</v>
      </c>
      <c r="AU214" s="8">
        <v>22.3</v>
      </c>
      <c r="AV214" s="8">
        <v>22.3</v>
      </c>
      <c r="AW214" s="6"/>
      <c r="AX214" s="6"/>
      <c r="AY214" s="6"/>
      <c r="AZ214" s="6"/>
      <c r="BA214" s="8">
        <v>15</v>
      </c>
      <c r="BB214" s="8">
        <v>15</v>
      </c>
      <c r="BC214" s="8">
        <v>0.3</v>
      </c>
      <c r="BD214" s="8">
        <v>0.3</v>
      </c>
      <c r="BE214" s="6"/>
      <c r="BF214" s="6"/>
      <c r="BG214" s="6"/>
      <c r="BH214" s="6"/>
      <c r="BI214" s="6"/>
      <c r="BJ214" s="6"/>
      <c r="BK214" s="6"/>
      <c r="BL214" s="8">
        <v>1103.69</v>
      </c>
      <c r="BM214" s="8">
        <v>0</v>
      </c>
      <c r="BN214" s="8">
        <v>56.71</v>
      </c>
      <c r="BO214" s="8">
        <v>119.15</v>
      </c>
      <c r="BP214" s="8">
        <v>0</v>
      </c>
      <c r="BQ214" s="8">
        <v>6.3</v>
      </c>
      <c r="BR214" s="8">
        <v>182.16</v>
      </c>
      <c r="BS214" s="8">
        <v>182.16</v>
      </c>
      <c r="BT214" s="6"/>
      <c r="BU214" s="6"/>
      <c r="BV214" s="6"/>
      <c r="BW214" s="6"/>
      <c r="BX214" s="6"/>
      <c r="BY214" s="6"/>
      <c r="BZ214" s="6"/>
      <c r="CA214" s="6"/>
      <c r="CB214" s="6"/>
      <c r="CC214" s="6"/>
      <c r="CD214" s="6"/>
      <c r="CE214" s="6"/>
      <c r="CF214" s="6"/>
      <c r="CG214" s="9">
        <v>1285.8499999999999</v>
      </c>
    </row>
    <row r="215" spans="1:85" x14ac:dyDescent="0.3">
      <c r="A215" s="3" t="str">
        <f t="shared" si="5"/>
        <v>NON ADDOther Non-ADDAGEP Graduate Research SupplementsTotal</v>
      </c>
      <c r="B215" s="6" t="s">
        <v>223</v>
      </c>
      <c r="C215" s="6" t="s">
        <v>294</v>
      </c>
      <c r="D215" s="6" t="s">
        <v>295</v>
      </c>
      <c r="E215" s="6" t="s">
        <v>24</v>
      </c>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8">
        <v>0.25</v>
      </c>
      <c r="AJ215" s="8">
        <v>0.3</v>
      </c>
      <c r="AK215" s="8">
        <v>0.34</v>
      </c>
      <c r="AL215" s="8">
        <v>0.3</v>
      </c>
      <c r="AM215" s="8">
        <v>3</v>
      </c>
      <c r="AN215" s="8">
        <v>0.45</v>
      </c>
      <c r="AO215" s="8">
        <v>0</v>
      </c>
      <c r="AP215" s="8">
        <v>4.6399999999999997</v>
      </c>
      <c r="AQ215" s="6"/>
      <c r="AR215" s="6"/>
      <c r="AS215" s="6"/>
      <c r="AT215" s="6"/>
      <c r="AU215" s="6"/>
      <c r="AV215" s="6"/>
      <c r="AW215" s="6"/>
      <c r="AX215" s="6"/>
      <c r="AY215" s="6"/>
      <c r="AZ215" s="6"/>
      <c r="BA215" s="6"/>
      <c r="BB215" s="6"/>
      <c r="BC215" s="6"/>
      <c r="BD215" s="6"/>
      <c r="BE215" s="6"/>
      <c r="BF215" s="6"/>
      <c r="BG215" s="6"/>
      <c r="BH215" s="6"/>
      <c r="BI215" s="6"/>
      <c r="BJ215" s="6"/>
      <c r="BK215" s="6"/>
      <c r="BL215" s="8">
        <v>4.6399999999999997</v>
      </c>
      <c r="BM215" s="6"/>
      <c r="BN215" s="6"/>
      <c r="BO215" s="6"/>
      <c r="BP215" s="6"/>
      <c r="BQ215" s="6"/>
      <c r="BR215" s="6"/>
      <c r="BS215" s="6"/>
      <c r="BT215" s="6"/>
      <c r="BU215" s="6"/>
      <c r="BV215" s="6"/>
      <c r="BW215" s="6"/>
      <c r="BX215" s="6"/>
      <c r="BY215" s="6"/>
      <c r="BZ215" s="6"/>
      <c r="CA215" s="6"/>
      <c r="CB215" s="6"/>
      <c r="CC215" s="6"/>
      <c r="CD215" s="6"/>
      <c r="CE215" s="6"/>
      <c r="CF215" s="6"/>
      <c r="CG215" s="9">
        <v>4.6399999999999997</v>
      </c>
    </row>
    <row r="216" spans="1:85" x14ac:dyDescent="0.3">
      <c r="A216" s="3" t="str">
        <f t="shared" si="5"/>
        <v>NON ADDOther Non-ADDAIMS PreconstructionTotal</v>
      </c>
      <c r="B216" s="6" t="s">
        <v>223</v>
      </c>
      <c r="C216" s="6" t="s">
        <v>294</v>
      </c>
      <c r="D216" s="6" t="s">
        <v>296</v>
      </c>
      <c r="E216" s="6" t="s">
        <v>24</v>
      </c>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8">
        <v>0</v>
      </c>
      <c r="AF216" s="6"/>
      <c r="AG216" s="6"/>
      <c r="AH216" s="8">
        <v>0</v>
      </c>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8">
        <v>0</v>
      </c>
      <c r="BM216" s="6"/>
      <c r="BN216" s="6"/>
      <c r="BO216" s="6"/>
      <c r="BP216" s="6"/>
      <c r="BQ216" s="6"/>
      <c r="BR216" s="6"/>
      <c r="BS216" s="6"/>
      <c r="BT216" s="6"/>
      <c r="BU216" s="6"/>
      <c r="BV216" s="6"/>
      <c r="BW216" s="6"/>
      <c r="BX216" s="6"/>
      <c r="BY216" s="6"/>
      <c r="BZ216" s="6"/>
      <c r="CA216" s="6"/>
      <c r="CB216" s="6"/>
      <c r="CC216" s="6"/>
      <c r="CD216" s="6"/>
      <c r="CE216" s="6"/>
      <c r="CF216" s="6"/>
      <c r="CG216" s="9">
        <v>0</v>
      </c>
    </row>
    <row r="217" spans="1:85" x14ac:dyDescent="0.3">
      <c r="A217" s="3" t="str">
        <f t="shared" si="5"/>
        <v>NON ADDOther Non-ADDAntarctic Research VesselTotal</v>
      </c>
      <c r="B217" s="6" t="s">
        <v>223</v>
      </c>
      <c r="C217" s="6" t="s">
        <v>294</v>
      </c>
      <c r="D217" s="6" t="s">
        <v>297</v>
      </c>
      <c r="E217" s="6" t="s">
        <v>24</v>
      </c>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8">
        <v>12.43</v>
      </c>
      <c r="AF217" s="6"/>
      <c r="AG217" s="6"/>
      <c r="AH217" s="8">
        <v>12.43</v>
      </c>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8">
        <v>12.43</v>
      </c>
      <c r="BM217" s="6"/>
      <c r="BN217" s="6"/>
      <c r="BO217" s="6"/>
      <c r="BP217" s="6"/>
      <c r="BQ217" s="6"/>
      <c r="BR217" s="6"/>
      <c r="BS217" s="6"/>
      <c r="BT217" s="6"/>
      <c r="BU217" s="6"/>
      <c r="BV217" s="6"/>
      <c r="BW217" s="6"/>
      <c r="BX217" s="6"/>
      <c r="BY217" s="6"/>
      <c r="BZ217" s="6"/>
      <c r="CA217" s="6"/>
      <c r="CB217" s="6"/>
      <c r="CC217" s="6"/>
      <c r="CD217" s="6"/>
      <c r="CE217" s="6"/>
      <c r="CF217" s="6"/>
      <c r="CG217" s="9">
        <v>12.43</v>
      </c>
    </row>
    <row r="218" spans="1:85" x14ac:dyDescent="0.3">
      <c r="A218" s="3" t="str">
        <f t="shared" si="5"/>
        <v>NON ADDOther Non-ADDBroadening Participation in Biology Fellowships (incl. in PRFB)Total</v>
      </c>
      <c r="B218" s="6" t="s">
        <v>223</v>
      </c>
      <c r="C218" s="6" t="s">
        <v>294</v>
      </c>
      <c r="D218" s="6" t="s">
        <v>298</v>
      </c>
      <c r="E218" s="6" t="s">
        <v>24</v>
      </c>
      <c r="F218" s="6"/>
      <c r="G218" s="6"/>
      <c r="H218" s="6"/>
      <c r="I218" s="6"/>
      <c r="J218" s="6"/>
      <c r="K218" s="8">
        <v>10.5</v>
      </c>
      <c r="L218" s="8">
        <v>10.5</v>
      </c>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8">
        <v>10.5</v>
      </c>
      <c r="BM218" s="6"/>
      <c r="BN218" s="6"/>
      <c r="BO218" s="6"/>
      <c r="BP218" s="6"/>
      <c r="BQ218" s="6"/>
      <c r="BR218" s="6"/>
      <c r="BS218" s="6"/>
      <c r="BT218" s="6"/>
      <c r="BU218" s="6"/>
      <c r="BV218" s="6"/>
      <c r="BW218" s="6"/>
      <c r="BX218" s="6"/>
      <c r="BY218" s="6"/>
      <c r="BZ218" s="6"/>
      <c r="CA218" s="6"/>
      <c r="CB218" s="6"/>
      <c r="CC218" s="6"/>
      <c r="CD218" s="6"/>
      <c r="CE218" s="6"/>
      <c r="CF218" s="6"/>
      <c r="CG218" s="9">
        <v>10.5</v>
      </c>
    </row>
    <row r="219" spans="1:85" x14ac:dyDescent="0.3">
      <c r="A219" s="3" t="str">
        <f t="shared" si="5"/>
        <v>NON ADDOther Non-ADDBroadening Participation in Engineering (BPE)Total</v>
      </c>
      <c r="B219" s="6" t="s">
        <v>223</v>
      </c>
      <c r="C219" s="6" t="s">
        <v>294</v>
      </c>
      <c r="D219" s="6" t="s">
        <v>299</v>
      </c>
      <c r="E219" s="6" t="s">
        <v>24</v>
      </c>
      <c r="F219" s="6"/>
      <c r="G219" s="6"/>
      <c r="H219" s="6"/>
      <c r="I219" s="6"/>
      <c r="J219" s="6"/>
      <c r="K219" s="6"/>
      <c r="L219" s="6"/>
      <c r="M219" s="6"/>
      <c r="N219" s="6"/>
      <c r="O219" s="6"/>
      <c r="P219" s="6"/>
      <c r="Q219" s="6"/>
      <c r="R219" s="6"/>
      <c r="S219" s="6"/>
      <c r="T219" s="6"/>
      <c r="U219" s="6"/>
      <c r="V219" s="6"/>
      <c r="W219" s="6"/>
      <c r="X219" s="6"/>
      <c r="Y219" s="6"/>
      <c r="Z219" s="8">
        <v>9</v>
      </c>
      <c r="AA219" s="8">
        <v>9</v>
      </c>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8">
        <v>9</v>
      </c>
      <c r="BM219" s="6"/>
      <c r="BN219" s="6"/>
      <c r="BO219" s="6"/>
      <c r="BP219" s="6"/>
      <c r="BQ219" s="6"/>
      <c r="BR219" s="6"/>
      <c r="BS219" s="6"/>
      <c r="BT219" s="6"/>
      <c r="BU219" s="6"/>
      <c r="BV219" s="6"/>
      <c r="BW219" s="6"/>
      <c r="BX219" s="6"/>
      <c r="BY219" s="6"/>
      <c r="BZ219" s="6"/>
      <c r="CA219" s="6"/>
      <c r="CB219" s="6"/>
      <c r="CC219" s="6"/>
      <c r="CD219" s="6"/>
      <c r="CE219" s="6"/>
      <c r="CF219" s="6"/>
      <c r="CG219" s="9">
        <v>9</v>
      </c>
    </row>
    <row r="220" spans="1:85" x14ac:dyDescent="0.3">
      <c r="A220" s="3" t="str">
        <f t="shared" si="5"/>
        <v>NON ADDOther Non-ADDCAREERTotal</v>
      </c>
      <c r="B220" s="6" t="s">
        <v>223</v>
      </c>
      <c r="C220" s="6" t="s">
        <v>294</v>
      </c>
      <c r="D220" s="6" t="s">
        <v>98</v>
      </c>
      <c r="E220" s="6" t="s">
        <v>24</v>
      </c>
      <c r="F220" s="8">
        <v>0</v>
      </c>
      <c r="G220" s="8">
        <v>0</v>
      </c>
      <c r="H220" s="6"/>
      <c r="I220" s="8">
        <v>0</v>
      </c>
      <c r="J220" s="8">
        <v>0</v>
      </c>
      <c r="K220" s="8">
        <v>80</v>
      </c>
      <c r="L220" s="8">
        <v>80</v>
      </c>
      <c r="M220" s="6"/>
      <c r="N220" s="6"/>
      <c r="O220" s="6"/>
      <c r="P220" s="6"/>
      <c r="Q220" s="6"/>
      <c r="R220" s="8">
        <v>55.75</v>
      </c>
      <c r="S220" s="8">
        <v>55.75</v>
      </c>
      <c r="T220" s="8">
        <v>45.6</v>
      </c>
      <c r="U220" s="8">
        <v>33.6</v>
      </c>
      <c r="V220" s="8">
        <v>18.600000000000001</v>
      </c>
      <c r="W220" s="6"/>
      <c r="X220" s="6"/>
      <c r="Y220" s="6"/>
      <c r="Z220" s="6"/>
      <c r="AA220" s="8">
        <v>97.8</v>
      </c>
      <c r="AB220" s="8">
        <v>10</v>
      </c>
      <c r="AC220" s="8">
        <v>14.11</v>
      </c>
      <c r="AD220" s="8">
        <v>6.2</v>
      </c>
      <c r="AE220" s="8">
        <v>2.13</v>
      </c>
      <c r="AF220" s="8">
        <v>0</v>
      </c>
      <c r="AG220" s="6"/>
      <c r="AH220" s="8">
        <v>32.44</v>
      </c>
      <c r="AI220" s="8">
        <v>4.8099999999999996</v>
      </c>
      <c r="AJ220" s="8">
        <v>26</v>
      </c>
      <c r="AK220" s="8">
        <v>25</v>
      </c>
      <c r="AL220" s="8">
        <v>15</v>
      </c>
      <c r="AM220" s="8">
        <v>0</v>
      </c>
      <c r="AN220" s="8">
        <v>7.3</v>
      </c>
      <c r="AO220" s="6"/>
      <c r="AP220" s="8">
        <v>78.11</v>
      </c>
      <c r="AQ220" s="8">
        <v>0</v>
      </c>
      <c r="AR220" s="6"/>
      <c r="AS220" s="6"/>
      <c r="AT220" s="8">
        <v>0</v>
      </c>
      <c r="AU220" s="8">
        <v>10</v>
      </c>
      <c r="AV220" s="8">
        <v>10</v>
      </c>
      <c r="AW220" s="6"/>
      <c r="AX220" s="6"/>
      <c r="AY220" s="6"/>
      <c r="AZ220" s="6"/>
      <c r="BA220" s="6"/>
      <c r="BB220" s="6"/>
      <c r="BC220" s="6"/>
      <c r="BD220" s="6"/>
      <c r="BE220" s="6"/>
      <c r="BF220" s="6"/>
      <c r="BG220" s="6"/>
      <c r="BH220" s="6"/>
      <c r="BI220" s="6"/>
      <c r="BJ220" s="6"/>
      <c r="BK220" s="6"/>
      <c r="BL220" s="8">
        <v>354.1</v>
      </c>
      <c r="BM220" s="8">
        <v>0</v>
      </c>
      <c r="BN220" s="8">
        <v>0</v>
      </c>
      <c r="BO220" s="8">
        <v>0</v>
      </c>
      <c r="BP220" s="8">
        <v>0</v>
      </c>
      <c r="BQ220" s="8">
        <v>6</v>
      </c>
      <c r="BR220" s="8">
        <v>6</v>
      </c>
      <c r="BS220" s="8">
        <v>6</v>
      </c>
      <c r="BT220" s="6"/>
      <c r="BU220" s="6"/>
      <c r="BV220" s="6"/>
      <c r="BW220" s="6"/>
      <c r="BX220" s="6"/>
      <c r="BY220" s="6"/>
      <c r="BZ220" s="6"/>
      <c r="CA220" s="6"/>
      <c r="CB220" s="6"/>
      <c r="CC220" s="6"/>
      <c r="CD220" s="6"/>
      <c r="CE220" s="6"/>
      <c r="CF220" s="6"/>
      <c r="CG220" s="9">
        <v>360.1</v>
      </c>
    </row>
    <row r="221" spans="1:85" x14ac:dyDescent="0.3">
      <c r="A221" s="3" t="str">
        <f t="shared" si="5"/>
        <v>NON ADDOther Non-ADDCareer-Life Balance (CLB)Total</v>
      </c>
      <c r="B221" s="6" t="s">
        <v>223</v>
      </c>
      <c r="C221" s="6" t="s">
        <v>294</v>
      </c>
      <c r="D221" s="6" t="s">
        <v>137</v>
      </c>
      <c r="E221" s="6" t="s">
        <v>24</v>
      </c>
      <c r="F221" s="6"/>
      <c r="G221" s="6"/>
      <c r="H221" s="6"/>
      <c r="I221" s="6"/>
      <c r="J221" s="6"/>
      <c r="K221" s="6"/>
      <c r="L221" s="6"/>
      <c r="M221" s="6"/>
      <c r="N221" s="6"/>
      <c r="O221" s="6"/>
      <c r="P221" s="6"/>
      <c r="Q221" s="6"/>
      <c r="R221" s="6"/>
      <c r="S221" s="6"/>
      <c r="T221" s="8">
        <v>0.1</v>
      </c>
      <c r="U221" s="8">
        <v>0.1</v>
      </c>
      <c r="V221" s="8">
        <v>0.05</v>
      </c>
      <c r="W221" s="6"/>
      <c r="X221" s="6"/>
      <c r="Y221" s="6"/>
      <c r="Z221" s="6"/>
      <c r="AA221" s="8">
        <v>0.25</v>
      </c>
      <c r="AB221" s="6"/>
      <c r="AC221" s="6"/>
      <c r="AD221" s="6"/>
      <c r="AE221" s="8">
        <v>0</v>
      </c>
      <c r="AF221" s="6"/>
      <c r="AG221" s="6"/>
      <c r="AH221" s="8">
        <v>0</v>
      </c>
      <c r="AI221" s="6"/>
      <c r="AJ221" s="8">
        <v>0.03</v>
      </c>
      <c r="AK221" s="6"/>
      <c r="AL221" s="6"/>
      <c r="AM221" s="8">
        <v>0</v>
      </c>
      <c r="AN221" s="6"/>
      <c r="AO221" s="6"/>
      <c r="AP221" s="8">
        <v>0.03</v>
      </c>
      <c r="AQ221" s="8">
        <v>0</v>
      </c>
      <c r="AR221" s="6"/>
      <c r="AS221" s="6"/>
      <c r="AT221" s="8">
        <v>0</v>
      </c>
      <c r="AU221" s="6"/>
      <c r="AV221" s="8">
        <v>0</v>
      </c>
      <c r="AW221" s="6"/>
      <c r="AX221" s="6"/>
      <c r="AY221" s="6"/>
      <c r="AZ221" s="6"/>
      <c r="BA221" s="6"/>
      <c r="BB221" s="6"/>
      <c r="BC221" s="6"/>
      <c r="BD221" s="6"/>
      <c r="BE221" s="6"/>
      <c r="BF221" s="6"/>
      <c r="BG221" s="6"/>
      <c r="BH221" s="6"/>
      <c r="BI221" s="6"/>
      <c r="BJ221" s="6"/>
      <c r="BK221" s="6"/>
      <c r="BL221" s="8">
        <v>0.28000000000000003</v>
      </c>
      <c r="BM221" s="6"/>
      <c r="BN221" s="6"/>
      <c r="BO221" s="6"/>
      <c r="BP221" s="8">
        <v>0</v>
      </c>
      <c r="BQ221" s="6"/>
      <c r="BR221" s="8">
        <v>0</v>
      </c>
      <c r="BS221" s="8">
        <v>0</v>
      </c>
      <c r="BT221" s="6"/>
      <c r="BU221" s="6"/>
      <c r="BV221" s="6"/>
      <c r="BW221" s="6"/>
      <c r="BX221" s="6"/>
      <c r="BY221" s="6"/>
      <c r="BZ221" s="6"/>
      <c r="CA221" s="6"/>
      <c r="CB221" s="6"/>
      <c r="CC221" s="6"/>
      <c r="CD221" s="6"/>
      <c r="CE221" s="6"/>
      <c r="CF221" s="6"/>
      <c r="CG221" s="9">
        <v>0.28000000000000003</v>
      </c>
    </row>
    <row r="222" spans="1:85" x14ac:dyDescent="0.3">
      <c r="A222" s="3" t="str">
        <f t="shared" si="5"/>
        <v>NON ADDOther Non-ADDCenter for High Resolution Neutron Scattering (CHRNS)Total</v>
      </c>
      <c r="B222" s="6" t="s">
        <v>223</v>
      </c>
      <c r="C222" s="6" t="s">
        <v>294</v>
      </c>
      <c r="D222" s="6" t="s">
        <v>355</v>
      </c>
      <c r="E222" s="6" t="s">
        <v>24</v>
      </c>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8">
        <v>0</v>
      </c>
      <c r="AK222" s="8">
        <v>3</v>
      </c>
      <c r="AL222" s="6"/>
      <c r="AM222" s="6"/>
      <c r="AN222" s="6"/>
      <c r="AO222" s="6"/>
      <c r="AP222" s="8">
        <v>3</v>
      </c>
      <c r="AQ222" s="6"/>
      <c r="AR222" s="6"/>
      <c r="AS222" s="6"/>
      <c r="AT222" s="6"/>
      <c r="AU222" s="6"/>
      <c r="AV222" s="6"/>
      <c r="AW222" s="6"/>
      <c r="AX222" s="6"/>
      <c r="AY222" s="6"/>
      <c r="AZ222" s="6"/>
      <c r="BA222" s="6"/>
      <c r="BB222" s="6"/>
      <c r="BC222" s="6"/>
      <c r="BD222" s="6"/>
      <c r="BE222" s="6"/>
      <c r="BF222" s="6"/>
      <c r="BG222" s="6"/>
      <c r="BH222" s="6"/>
      <c r="BI222" s="6"/>
      <c r="BJ222" s="6"/>
      <c r="BK222" s="6"/>
      <c r="BL222" s="8">
        <v>3</v>
      </c>
      <c r="BM222" s="6"/>
      <c r="BN222" s="6"/>
      <c r="BO222" s="6"/>
      <c r="BP222" s="6"/>
      <c r="BQ222" s="6"/>
      <c r="BR222" s="6"/>
      <c r="BS222" s="6"/>
      <c r="BT222" s="6"/>
      <c r="BU222" s="6"/>
      <c r="BV222" s="6"/>
      <c r="BW222" s="6"/>
      <c r="BX222" s="6"/>
      <c r="BY222" s="6"/>
      <c r="BZ222" s="6"/>
      <c r="CA222" s="6"/>
      <c r="CB222" s="6"/>
      <c r="CC222" s="6"/>
      <c r="CD222" s="6"/>
      <c r="CE222" s="6"/>
      <c r="CF222" s="6"/>
      <c r="CG222" s="9">
        <v>3</v>
      </c>
    </row>
    <row r="223" spans="1:85" x14ac:dyDescent="0.3">
      <c r="A223" s="3" t="str">
        <f t="shared" si="5"/>
        <v>NON ADDOther Non-ADDChemMatCARSTotal</v>
      </c>
      <c r="B223" s="6" t="s">
        <v>223</v>
      </c>
      <c r="C223" s="6" t="s">
        <v>294</v>
      </c>
      <c r="D223" s="6" t="s">
        <v>356</v>
      </c>
      <c r="E223" s="6" t="s">
        <v>24</v>
      </c>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8">
        <v>1.65</v>
      </c>
      <c r="AK223" s="8">
        <v>0.45</v>
      </c>
      <c r="AL223" s="6"/>
      <c r="AM223" s="6"/>
      <c r="AN223" s="6"/>
      <c r="AO223" s="6"/>
      <c r="AP223" s="8">
        <v>2.1</v>
      </c>
      <c r="AQ223" s="6"/>
      <c r="AR223" s="6"/>
      <c r="AS223" s="6"/>
      <c r="AT223" s="6"/>
      <c r="AU223" s="6"/>
      <c r="AV223" s="6"/>
      <c r="AW223" s="6"/>
      <c r="AX223" s="6"/>
      <c r="AY223" s="6"/>
      <c r="AZ223" s="6"/>
      <c r="BA223" s="6"/>
      <c r="BB223" s="6"/>
      <c r="BC223" s="6"/>
      <c r="BD223" s="6"/>
      <c r="BE223" s="6"/>
      <c r="BF223" s="6"/>
      <c r="BG223" s="6"/>
      <c r="BH223" s="6"/>
      <c r="BI223" s="6"/>
      <c r="BJ223" s="6"/>
      <c r="BK223" s="6"/>
      <c r="BL223" s="8">
        <v>2.1</v>
      </c>
      <c r="BM223" s="6"/>
      <c r="BN223" s="6"/>
      <c r="BO223" s="6"/>
      <c r="BP223" s="6"/>
      <c r="BQ223" s="6"/>
      <c r="BR223" s="6"/>
      <c r="BS223" s="6"/>
      <c r="BT223" s="6"/>
      <c r="BU223" s="6"/>
      <c r="BV223" s="6"/>
      <c r="BW223" s="6"/>
      <c r="BX223" s="6"/>
      <c r="BY223" s="6"/>
      <c r="BZ223" s="6"/>
      <c r="CA223" s="6"/>
      <c r="CB223" s="6"/>
      <c r="CC223" s="6"/>
      <c r="CD223" s="6"/>
      <c r="CE223" s="6"/>
      <c r="CF223" s="6"/>
      <c r="CG223" s="9">
        <v>2.1</v>
      </c>
    </row>
    <row r="224" spans="1:85" x14ac:dyDescent="0.3">
      <c r="A224" s="3" t="str">
        <f t="shared" si="5"/>
        <v>NON ADDOther Non-ADDCISE Education and WorkforceTotal</v>
      </c>
      <c r="B224" s="6" t="s">
        <v>223</v>
      </c>
      <c r="C224" s="6" t="s">
        <v>294</v>
      </c>
      <c r="D224" s="6" t="s">
        <v>300</v>
      </c>
      <c r="E224" s="6" t="s">
        <v>24</v>
      </c>
      <c r="F224" s="6"/>
      <c r="G224" s="6"/>
      <c r="H224" s="6"/>
      <c r="I224" s="6"/>
      <c r="J224" s="6"/>
      <c r="K224" s="6"/>
      <c r="L224" s="6"/>
      <c r="M224" s="6"/>
      <c r="N224" s="6"/>
      <c r="O224" s="6"/>
      <c r="P224" s="6"/>
      <c r="Q224" s="6"/>
      <c r="R224" s="8">
        <v>12.75</v>
      </c>
      <c r="S224" s="8">
        <v>12.75</v>
      </c>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8">
        <v>12.75</v>
      </c>
      <c r="BM224" s="6"/>
      <c r="BN224" s="6"/>
      <c r="BO224" s="6"/>
      <c r="BP224" s="6"/>
      <c r="BQ224" s="6"/>
      <c r="BR224" s="6"/>
      <c r="BS224" s="6"/>
      <c r="BT224" s="6"/>
      <c r="BU224" s="6"/>
      <c r="BV224" s="6"/>
      <c r="BW224" s="6"/>
      <c r="BX224" s="6"/>
      <c r="BY224" s="6"/>
      <c r="BZ224" s="6"/>
      <c r="CA224" s="6"/>
      <c r="CB224" s="6"/>
      <c r="CC224" s="6"/>
      <c r="CD224" s="6"/>
      <c r="CE224" s="6"/>
      <c r="CF224" s="6"/>
      <c r="CG224" s="9">
        <v>12.75</v>
      </c>
    </row>
    <row r="225" spans="1:85" x14ac:dyDescent="0.3">
      <c r="A225" s="3" t="str">
        <f t="shared" si="5"/>
        <v>NON ADDOther Non-ADDCISE-MSI Research Expansion ProgramTotal</v>
      </c>
      <c r="B225" s="6" t="s">
        <v>223</v>
      </c>
      <c r="C225" s="6" t="s">
        <v>294</v>
      </c>
      <c r="D225" s="6" t="s">
        <v>301</v>
      </c>
      <c r="E225" s="6" t="s">
        <v>24</v>
      </c>
      <c r="F225" s="6"/>
      <c r="G225" s="6"/>
      <c r="H225" s="6"/>
      <c r="I225" s="6"/>
      <c r="J225" s="6"/>
      <c r="K225" s="6"/>
      <c r="L225" s="6"/>
      <c r="M225" s="6"/>
      <c r="N225" s="6"/>
      <c r="O225" s="6"/>
      <c r="P225" s="6"/>
      <c r="Q225" s="6"/>
      <c r="R225" s="8">
        <v>7</v>
      </c>
      <c r="S225" s="8">
        <v>7</v>
      </c>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8">
        <v>7</v>
      </c>
      <c r="BM225" s="6"/>
      <c r="BN225" s="6"/>
      <c r="BO225" s="6"/>
      <c r="BP225" s="6"/>
      <c r="BQ225" s="6"/>
      <c r="BR225" s="6"/>
      <c r="BS225" s="6"/>
      <c r="BT225" s="6"/>
      <c r="BU225" s="6"/>
      <c r="BV225" s="6"/>
      <c r="BW225" s="6"/>
      <c r="BX225" s="6"/>
      <c r="BY225" s="6"/>
      <c r="BZ225" s="6"/>
      <c r="CA225" s="6"/>
      <c r="CB225" s="6"/>
      <c r="CC225" s="6"/>
      <c r="CD225" s="6"/>
      <c r="CE225" s="6"/>
      <c r="CF225" s="6"/>
      <c r="CG225" s="9">
        <v>7</v>
      </c>
    </row>
    <row r="226" spans="1:85" x14ac:dyDescent="0.3">
      <c r="A226" s="3" t="str">
        <f t="shared" si="5"/>
        <v>NON ADDOther Non-ADDClimate Related activities (non-USGCRP, non-CETTotal</v>
      </c>
      <c r="B226" s="6" t="s">
        <v>223</v>
      </c>
      <c r="C226" s="6" t="s">
        <v>294</v>
      </c>
      <c r="D226" s="6" t="s">
        <v>357</v>
      </c>
      <c r="E226" s="6" t="s">
        <v>24</v>
      </c>
      <c r="F226" s="6"/>
      <c r="G226" s="6"/>
      <c r="H226" s="6"/>
      <c r="I226" s="6"/>
      <c r="J226" s="6"/>
      <c r="K226" s="6"/>
      <c r="L226" s="6"/>
      <c r="M226" s="6"/>
      <c r="N226" s="6"/>
      <c r="O226" s="6"/>
      <c r="P226" s="6"/>
      <c r="Q226" s="6"/>
      <c r="R226" s="8">
        <v>55</v>
      </c>
      <c r="S226" s="8">
        <v>55</v>
      </c>
      <c r="T226" s="6"/>
      <c r="U226" s="6"/>
      <c r="V226" s="6"/>
      <c r="W226" s="6"/>
      <c r="X226" s="6"/>
      <c r="Y226" s="6"/>
      <c r="Z226" s="8">
        <v>40</v>
      </c>
      <c r="AA226" s="8">
        <v>40</v>
      </c>
      <c r="AB226" s="6"/>
      <c r="AC226" s="6"/>
      <c r="AD226" s="6"/>
      <c r="AE226" s="6"/>
      <c r="AF226" s="6"/>
      <c r="AG226" s="8">
        <v>51.8</v>
      </c>
      <c r="AH226" s="8">
        <v>51.8</v>
      </c>
      <c r="AI226" s="6"/>
      <c r="AJ226" s="8">
        <v>1</v>
      </c>
      <c r="AK226" s="6"/>
      <c r="AL226" s="6"/>
      <c r="AM226" s="6"/>
      <c r="AN226" s="8">
        <v>4.34</v>
      </c>
      <c r="AO226" s="6"/>
      <c r="AP226" s="8">
        <v>5.34</v>
      </c>
      <c r="AQ226" s="6"/>
      <c r="AR226" s="6"/>
      <c r="AS226" s="6"/>
      <c r="AT226" s="6"/>
      <c r="AU226" s="6"/>
      <c r="AV226" s="6"/>
      <c r="AW226" s="6"/>
      <c r="AX226" s="6"/>
      <c r="AY226" s="6"/>
      <c r="AZ226" s="6"/>
      <c r="BA226" s="8">
        <v>15</v>
      </c>
      <c r="BB226" s="8">
        <v>15</v>
      </c>
      <c r="BC226" s="6"/>
      <c r="BD226" s="6"/>
      <c r="BE226" s="6"/>
      <c r="BF226" s="6"/>
      <c r="BG226" s="6"/>
      <c r="BH226" s="6"/>
      <c r="BI226" s="6"/>
      <c r="BJ226" s="6"/>
      <c r="BK226" s="6"/>
      <c r="BL226" s="8">
        <v>167.14</v>
      </c>
      <c r="BM226" s="6"/>
      <c r="BN226" s="6"/>
      <c r="BO226" s="6"/>
      <c r="BP226" s="6"/>
      <c r="BQ226" s="6"/>
      <c r="BR226" s="6"/>
      <c r="BS226" s="6"/>
      <c r="BT226" s="6"/>
      <c r="BU226" s="6"/>
      <c r="BV226" s="6"/>
      <c r="BW226" s="6"/>
      <c r="BX226" s="6"/>
      <c r="BY226" s="6"/>
      <c r="BZ226" s="6"/>
      <c r="CA226" s="6"/>
      <c r="CB226" s="6"/>
      <c r="CC226" s="6"/>
      <c r="CD226" s="6"/>
      <c r="CE226" s="6"/>
      <c r="CF226" s="6"/>
      <c r="CG226" s="9">
        <v>167.14</v>
      </c>
    </row>
    <row r="227" spans="1:85" x14ac:dyDescent="0.3">
      <c r="A227" s="3" t="str">
        <f t="shared" si="5"/>
        <v>NON ADDOther Non-ADDDisability and Rehabilitation Engineering (DARE)Total</v>
      </c>
      <c r="B227" s="6" t="s">
        <v>223</v>
      </c>
      <c r="C227" s="6" t="s">
        <v>294</v>
      </c>
      <c r="D227" s="6" t="s">
        <v>305</v>
      </c>
      <c r="E227" s="6" t="s">
        <v>24</v>
      </c>
      <c r="F227" s="6"/>
      <c r="G227" s="6"/>
      <c r="H227" s="6"/>
      <c r="I227" s="6"/>
      <c r="J227" s="6"/>
      <c r="K227" s="6"/>
      <c r="L227" s="6"/>
      <c r="M227" s="6"/>
      <c r="N227" s="6"/>
      <c r="O227" s="6"/>
      <c r="P227" s="6"/>
      <c r="Q227" s="6"/>
      <c r="R227" s="6"/>
      <c r="S227" s="6"/>
      <c r="T227" s="6"/>
      <c r="U227" s="6"/>
      <c r="V227" s="6"/>
      <c r="W227" s="6"/>
      <c r="X227" s="6"/>
      <c r="Y227" s="6"/>
      <c r="Z227" s="8">
        <v>6</v>
      </c>
      <c r="AA227" s="8">
        <v>6</v>
      </c>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8">
        <v>6</v>
      </c>
      <c r="BM227" s="6"/>
      <c r="BN227" s="6"/>
      <c r="BO227" s="6"/>
      <c r="BP227" s="6"/>
      <c r="BQ227" s="6"/>
      <c r="BR227" s="6"/>
      <c r="BS227" s="6"/>
      <c r="BT227" s="6"/>
      <c r="BU227" s="6"/>
      <c r="BV227" s="6"/>
      <c r="BW227" s="6"/>
      <c r="BX227" s="6"/>
      <c r="BY227" s="6"/>
      <c r="BZ227" s="6"/>
      <c r="CA227" s="6"/>
      <c r="CB227" s="6"/>
      <c r="CC227" s="6"/>
      <c r="CD227" s="6"/>
      <c r="CE227" s="6"/>
      <c r="CF227" s="6"/>
      <c r="CG227" s="9">
        <v>6</v>
      </c>
    </row>
    <row r="228" spans="1:85" x14ac:dyDescent="0.3">
      <c r="A228" s="3" t="str">
        <f t="shared" si="5"/>
        <v>NON ADDOther Non-ADDEFRI:REM - Emerging Frontiers in Research and Innovation: Research Experience and MentoringTotal</v>
      </c>
      <c r="B228" s="6" t="s">
        <v>223</v>
      </c>
      <c r="C228" s="6" t="s">
        <v>294</v>
      </c>
      <c r="D228" s="6" t="s">
        <v>358</v>
      </c>
      <c r="E228" s="6" t="s">
        <v>24</v>
      </c>
      <c r="F228" s="6"/>
      <c r="G228" s="6"/>
      <c r="H228" s="6"/>
      <c r="I228" s="6"/>
      <c r="J228" s="6"/>
      <c r="K228" s="6"/>
      <c r="L228" s="6"/>
      <c r="M228" s="6"/>
      <c r="N228" s="6"/>
      <c r="O228" s="6"/>
      <c r="P228" s="6"/>
      <c r="Q228" s="6"/>
      <c r="R228" s="6"/>
      <c r="S228" s="6"/>
      <c r="T228" s="6"/>
      <c r="U228" s="6"/>
      <c r="V228" s="6"/>
      <c r="W228" s="6"/>
      <c r="X228" s="6"/>
      <c r="Y228" s="6"/>
      <c r="Z228" s="8">
        <v>1</v>
      </c>
      <c r="AA228" s="8">
        <v>1</v>
      </c>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8">
        <v>1</v>
      </c>
      <c r="BM228" s="6"/>
      <c r="BN228" s="6"/>
      <c r="BO228" s="6"/>
      <c r="BP228" s="6"/>
      <c r="BQ228" s="6"/>
      <c r="BR228" s="6"/>
      <c r="BS228" s="6"/>
      <c r="BT228" s="6"/>
      <c r="BU228" s="6"/>
      <c r="BV228" s="6"/>
      <c r="BW228" s="6"/>
      <c r="BX228" s="6"/>
      <c r="BY228" s="6"/>
      <c r="BZ228" s="6"/>
      <c r="CA228" s="6"/>
      <c r="CB228" s="6"/>
      <c r="CC228" s="6"/>
      <c r="CD228" s="6"/>
      <c r="CE228" s="6"/>
      <c r="CF228" s="6"/>
      <c r="CG228" s="9">
        <v>1</v>
      </c>
    </row>
    <row r="229" spans="1:85" x14ac:dyDescent="0.3">
      <c r="A229" s="3" t="str">
        <f t="shared" si="5"/>
        <v>NON ADDOther Non-ADDEthical and Responsible Research (ER2)Total</v>
      </c>
      <c r="B229" s="6" t="s">
        <v>223</v>
      </c>
      <c r="C229" s="6" t="s">
        <v>294</v>
      </c>
      <c r="D229" s="6" t="s">
        <v>306</v>
      </c>
      <c r="E229" s="6" t="s">
        <v>24</v>
      </c>
      <c r="F229" s="6"/>
      <c r="G229" s="6"/>
      <c r="H229" s="6"/>
      <c r="I229" s="6"/>
      <c r="J229" s="6"/>
      <c r="K229" s="8">
        <v>0.6</v>
      </c>
      <c r="L229" s="8">
        <v>0.6</v>
      </c>
      <c r="M229" s="6"/>
      <c r="N229" s="6"/>
      <c r="O229" s="6"/>
      <c r="P229" s="6"/>
      <c r="Q229" s="6"/>
      <c r="R229" s="8">
        <v>0.75</v>
      </c>
      <c r="S229" s="8">
        <v>0.75</v>
      </c>
      <c r="T229" s="6"/>
      <c r="U229" s="6"/>
      <c r="V229" s="6"/>
      <c r="W229" s="6"/>
      <c r="X229" s="6"/>
      <c r="Y229" s="6"/>
      <c r="Z229" s="8">
        <v>0.4</v>
      </c>
      <c r="AA229" s="8">
        <v>0.4</v>
      </c>
      <c r="AB229" s="6"/>
      <c r="AC229" s="6"/>
      <c r="AD229" s="6"/>
      <c r="AE229" s="6"/>
      <c r="AF229" s="6"/>
      <c r="AG229" s="6"/>
      <c r="AH229" s="6"/>
      <c r="AI229" s="6"/>
      <c r="AJ229" s="6"/>
      <c r="AK229" s="6"/>
      <c r="AL229" s="6"/>
      <c r="AM229" s="6"/>
      <c r="AN229" s="6"/>
      <c r="AO229" s="6"/>
      <c r="AP229" s="6"/>
      <c r="AQ229" s="6"/>
      <c r="AR229" s="6"/>
      <c r="AS229" s="6"/>
      <c r="AT229" s="6"/>
      <c r="AU229" s="8">
        <v>2.2000000000000002</v>
      </c>
      <c r="AV229" s="8">
        <v>2.2000000000000002</v>
      </c>
      <c r="AW229" s="6"/>
      <c r="AX229" s="6"/>
      <c r="AY229" s="6"/>
      <c r="AZ229" s="6"/>
      <c r="BA229" s="6"/>
      <c r="BB229" s="6"/>
      <c r="BC229" s="8">
        <v>0.3</v>
      </c>
      <c r="BD229" s="8">
        <v>0.3</v>
      </c>
      <c r="BE229" s="6"/>
      <c r="BF229" s="6"/>
      <c r="BG229" s="6"/>
      <c r="BH229" s="6"/>
      <c r="BI229" s="6"/>
      <c r="BJ229" s="6"/>
      <c r="BK229" s="6"/>
      <c r="BL229" s="8">
        <v>4.25</v>
      </c>
      <c r="BM229" s="6"/>
      <c r="BN229" s="6"/>
      <c r="BO229" s="6"/>
      <c r="BP229" s="6"/>
      <c r="BQ229" s="8">
        <v>0.3</v>
      </c>
      <c r="BR229" s="8">
        <v>0.3</v>
      </c>
      <c r="BS229" s="8">
        <v>0.3</v>
      </c>
      <c r="BT229" s="6"/>
      <c r="BU229" s="6"/>
      <c r="BV229" s="6"/>
      <c r="BW229" s="6"/>
      <c r="BX229" s="6"/>
      <c r="BY229" s="6"/>
      <c r="BZ229" s="6"/>
      <c r="CA229" s="6"/>
      <c r="CB229" s="6"/>
      <c r="CC229" s="6"/>
      <c r="CD229" s="6"/>
      <c r="CE229" s="6"/>
      <c r="CF229" s="6"/>
      <c r="CG229" s="9">
        <v>4.55</v>
      </c>
    </row>
    <row r="230" spans="1:85" x14ac:dyDescent="0.3">
      <c r="A230" s="3" t="str">
        <f t="shared" si="5"/>
        <v>NON ADDOther Non-ADDGrant Opportunities for Academic Liaison with Industry (GOALI)Total</v>
      </c>
      <c r="B230" s="6" t="s">
        <v>223</v>
      </c>
      <c r="C230" s="6" t="s">
        <v>294</v>
      </c>
      <c r="D230" s="6" t="s">
        <v>307</v>
      </c>
      <c r="E230" s="6" t="s">
        <v>24</v>
      </c>
      <c r="F230" s="6"/>
      <c r="G230" s="6"/>
      <c r="H230" s="6"/>
      <c r="I230" s="6"/>
      <c r="J230" s="6"/>
      <c r="K230" s="6"/>
      <c r="L230" s="6"/>
      <c r="M230" s="6"/>
      <c r="N230" s="6"/>
      <c r="O230" s="6"/>
      <c r="P230" s="6"/>
      <c r="Q230" s="6"/>
      <c r="R230" s="6"/>
      <c r="S230" s="6"/>
      <c r="T230" s="6"/>
      <c r="U230" s="6"/>
      <c r="V230" s="6"/>
      <c r="W230" s="6"/>
      <c r="X230" s="6"/>
      <c r="Y230" s="6"/>
      <c r="Z230" s="8">
        <v>20</v>
      </c>
      <c r="AA230" s="8">
        <v>20</v>
      </c>
      <c r="AB230" s="6"/>
      <c r="AC230" s="6"/>
      <c r="AD230" s="6"/>
      <c r="AE230" s="6"/>
      <c r="AF230" s="6"/>
      <c r="AG230" s="6"/>
      <c r="AH230" s="6"/>
      <c r="AI230" s="6"/>
      <c r="AJ230" s="8">
        <v>2.5</v>
      </c>
      <c r="AK230" s="8">
        <v>2</v>
      </c>
      <c r="AL230" s="6"/>
      <c r="AM230" s="8">
        <v>0</v>
      </c>
      <c r="AN230" s="6"/>
      <c r="AO230" s="6"/>
      <c r="AP230" s="8">
        <v>4.5</v>
      </c>
      <c r="AQ230" s="6"/>
      <c r="AR230" s="6"/>
      <c r="AS230" s="6"/>
      <c r="AT230" s="6"/>
      <c r="AU230" s="6"/>
      <c r="AV230" s="6"/>
      <c r="AW230" s="6"/>
      <c r="AX230" s="6"/>
      <c r="AY230" s="6"/>
      <c r="AZ230" s="6"/>
      <c r="BA230" s="8">
        <v>0</v>
      </c>
      <c r="BB230" s="8">
        <v>0</v>
      </c>
      <c r="BC230" s="6"/>
      <c r="BD230" s="6"/>
      <c r="BE230" s="6"/>
      <c r="BF230" s="6"/>
      <c r="BG230" s="6"/>
      <c r="BH230" s="6"/>
      <c r="BI230" s="6"/>
      <c r="BJ230" s="6"/>
      <c r="BK230" s="6"/>
      <c r="BL230" s="8">
        <v>24.5</v>
      </c>
      <c r="BM230" s="6"/>
      <c r="BN230" s="6"/>
      <c r="BO230" s="6"/>
      <c r="BP230" s="6"/>
      <c r="BQ230" s="6"/>
      <c r="BR230" s="6"/>
      <c r="BS230" s="6"/>
      <c r="BT230" s="6"/>
      <c r="BU230" s="6"/>
      <c r="BV230" s="6"/>
      <c r="BW230" s="6"/>
      <c r="BX230" s="6"/>
      <c r="BY230" s="6"/>
      <c r="BZ230" s="6"/>
      <c r="CA230" s="6"/>
      <c r="CB230" s="6"/>
      <c r="CC230" s="6"/>
      <c r="CD230" s="6"/>
      <c r="CE230" s="6"/>
      <c r="CF230" s="6"/>
      <c r="CG230" s="9">
        <v>24.5</v>
      </c>
    </row>
    <row r="231" spans="1:85" x14ac:dyDescent="0.3">
      <c r="A231" s="3" t="str">
        <f t="shared" si="5"/>
        <v>NON ADDOther Non-ADDGreenhouse Gas (GHG) ResearchTotal</v>
      </c>
      <c r="B231" s="6" t="s">
        <v>223</v>
      </c>
      <c r="C231" s="6" t="s">
        <v>294</v>
      </c>
      <c r="D231" s="6" t="s">
        <v>359</v>
      </c>
      <c r="E231" s="6" t="s">
        <v>24</v>
      </c>
      <c r="F231" s="6"/>
      <c r="G231" s="6"/>
      <c r="H231" s="6"/>
      <c r="I231" s="6"/>
      <c r="J231" s="6"/>
      <c r="K231" s="8">
        <v>70</v>
      </c>
      <c r="L231" s="8">
        <v>70</v>
      </c>
      <c r="M231" s="6"/>
      <c r="N231" s="6"/>
      <c r="O231" s="6"/>
      <c r="P231" s="6"/>
      <c r="Q231" s="6"/>
      <c r="R231" s="6"/>
      <c r="S231" s="6"/>
      <c r="T231" s="6"/>
      <c r="U231" s="6"/>
      <c r="V231" s="6"/>
      <c r="W231" s="6"/>
      <c r="X231" s="6"/>
      <c r="Y231" s="6"/>
      <c r="Z231" s="8">
        <v>30</v>
      </c>
      <c r="AA231" s="8">
        <v>30</v>
      </c>
      <c r="AB231" s="6"/>
      <c r="AC231" s="6"/>
      <c r="AD231" s="6"/>
      <c r="AE231" s="6"/>
      <c r="AF231" s="6"/>
      <c r="AG231" s="8">
        <v>100</v>
      </c>
      <c r="AH231" s="8">
        <v>100</v>
      </c>
      <c r="AI231" s="6"/>
      <c r="AJ231" s="8">
        <v>0</v>
      </c>
      <c r="AK231" s="6"/>
      <c r="AL231" s="6"/>
      <c r="AM231" s="6"/>
      <c r="AN231" s="6"/>
      <c r="AO231" s="8">
        <v>50</v>
      </c>
      <c r="AP231" s="8">
        <v>50</v>
      </c>
      <c r="AQ231" s="6"/>
      <c r="AR231" s="6"/>
      <c r="AS231" s="6"/>
      <c r="AT231" s="6"/>
      <c r="AU231" s="6"/>
      <c r="AV231" s="6"/>
      <c r="AW231" s="6"/>
      <c r="AX231" s="6"/>
      <c r="AY231" s="6"/>
      <c r="AZ231" s="6"/>
      <c r="BA231" s="6"/>
      <c r="BB231" s="6"/>
      <c r="BC231" s="6"/>
      <c r="BD231" s="6"/>
      <c r="BE231" s="6"/>
      <c r="BF231" s="6"/>
      <c r="BG231" s="6"/>
      <c r="BH231" s="6"/>
      <c r="BI231" s="6"/>
      <c r="BJ231" s="6"/>
      <c r="BK231" s="6"/>
      <c r="BL231" s="8">
        <v>250</v>
      </c>
      <c r="BM231" s="6"/>
      <c r="BN231" s="6"/>
      <c r="BO231" s="6"/>
      <c r="BP231" s="6"/>
      <c r="BQ231" s="6"/>
      <c r="BR231" s="6"/>
      <c r="BS231" s="6"/>
      <c r="BT231" s="6"/>
      <c r="BU231" s="6"/>
      <c r="BV231" s="6"/>
      <c r="BW231" s="6"/>
      <c r="BX231" s="6"/>
      <c r="BY231" s="6"/>
      <c r="BZ231" s="6"/>
      <c r="CA231" s="6"/>
      <c r="CB231" s="6"/>
      <c r="CC231" s="6"/>
      <c r="CD231" s="6"/>
      <c r="CE231" s="6"/>
      <c r="CF231" s="6"/>
      <c r="CG231" s="9">
        <v>250</v>
      </c>
    </row>
    <row r="232" spans="1:85" x14ac:dyDescent="0.3">
      <c r="A232" s="3" t="str">
        <f t="shared" si="5"/>
        <v>NON ADDOther Non-ADDHDR:DSC – Harnessing the Data Revolution: Data Science CorpsTotal</v>
      </c>
      <c r="B232" s="6" t="s">
        <v>223</v>
      </c>
      <c r="C232" s="6" t="s">
        <v>294</v>
      </c>
      <c r="D232" s="6" t="s">
        <v>360</v>
      </c>
      <c r="E232" s="6" t="s">
        <v>24</v>
      </c>
      <c r="F232" s="6"/>
      <c r="G232" s="6"/>
      <c r="H232" s="6"/>
      <c r="I232" s="6"/>
      <c r="J232" s="6"/>
      <c r="K232" s="6"/>
      <c r="L232" s="6"/>
      <c r="M232" s="6"/>
      <c r="N232" s="6"/>
      <c r="O232" s="6"/>
      <c r="P232" s="6"/>
      <c r="Q232" s="6"/>
      <c r="R232" s="8">
        <v>3</v>
      </c>
      <c r="S232" s="8">
        <v>3</v>
      </c>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8">
        <v>3</v>
      </c>
      <c r="BM232" s="6"/>
      <c r="BN232" s="6"/>
      <c r="BO232" s="6"/>
      <c r="BP232" s="6"/>
      <c r="BQ232" s="6"/>
      <c r="BR232" s="6"/>
      <c r="BS232" s="6"/>
      <c r="BT232" s="6"/>
      <c r="BU232" s="6"/>
      <c r="BV232" s="6"/>
      <c r="BW232" s="6"/>
      <c r="BX232" s="6"/>
      <c r="BY232" s="6"/>
      <c r="BZ232" s="6"/>
      <c r="CA232" s="6"/>
      <c r="CB232" s="6"/>
      <c r="CC232" s="6"/>
      <c r="CD232" s="6"/>
      <c r="CE232" s="6"/>
      <c r="CF232" s="6"/>
      <c r="CG232" s="9">
        <v>3</v>
      </c>
    </row>
    <row r="233" spans="1:85" x14ac:dyDescent="0.3">
      <c r="A233" s="3" t="str">
        <f t="shared" si="5"/>
        <v>NON ADDOther Non-ADDInnovative Technology Experiences for Teachers &amp; Students (ITEST)(H1-B)Total</v>
      </c>
      <c r="B233" s="6" t="s">
        <v>223</v>
      </c>
      <c r="C233" s="6" t="s">
        <v>294</v>
      </c>
      <c r="D233" s="6" t="s">
        <v>308</v>
      </c>
      <c r="E233" s="6" t="s">
        <v>24</v>
      </c>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8">
        <v>39.71</v>
      </c>
      <c r="BO233" s="6"/>
      <c r="BP233" s="6"/>
      <c r="BQ233" s="6"/>
      <c r="BR233" s="8">
        <v>39.71</v>
      </c>
      <c r="BS233" s="8">
        <v>39.71</v>
      </c>
      <c r="BT233" s="6"/>
      <c r="BU233" s="6"/>
      <c r="BV233" s="6"/>
      <c r="BW233" s="6"/>
      <c r="BX233" s="6"/>
      <c r="BY233" s="6"/>
      <c r="BZ233" s="6"/>
      <c r="CA233" s="6"/>
      <c r="CB233" s="6"/>
      <c r="CC233" s="6"/>
      <c r="CD233" s="6"/>
      <c r="CE233" s="6"/>
      <c r="CF233" s="6"/>
      <c r="CG233" s="9">
        <v>39.71</v>
      </c>
    </row>
    <row r="234" spans="1:85" x14ac:dyDescent="0.3">
      <c r="A234" s="3" t="str">
        <f t="shared" si="5"/>
        <v>NON ADDOther Non-ADDLeadership Class Computing FacilityTotal</v>
      </c>
      <c r="B234" s="6" t="s">
        <v>223</v>
      </c>
      <c r="C234" s="6" t="s">
        <v>294</v>
      </c>
      <c r="D234" s="6" t="s">
        <v>309</v>
      </c>
      <c r="E234" s="6" t="s">
        <v>24</v>
      </c>
      <c r="F234" s="6"/>
      <c r="G234" s="6"/>
      <c r="H234" s="6"/>
      <c r="I234" s="6"/>
      <c r="J234" s="6"/>
      <c r="K234" s="6"/>
      <c r="L234" s="6"/>
      <c r="M234" s="6"/>
      <c r="N234" s="6"/>
      <c r="O234" s="6"/>
      <c r="P234" s="6"/>
      <c r="Q234" s="8">
        <v>0</v>
      </c>
      <c r="R234" s="6"/>
      <c r="S234" s="8">
        <v>0</v>
      </c>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8">
        <v>0</v>
      </c>
      <c r="BM234" s="6"/>
      <c r="BN234" s="6"/>
      <c r="BO234" s="6"/>
      <c r="BP234" s="6"/>
      <c r="BQ234" s="6"/>
      <c r="BR234" s="6"/>
      <c r="BS234" s="6"/>
      <c r="BT234" s="6"/>
      <c r="BU234" s="6"/>
      <c r="BV234" s="6"/>
      <c r="BW234" s="6"/>
      <c r="BX234" s="6"/>
      <c r="BY234" s="6"/>
      <c r="BZ234" s="6"/>
      <c r="CA234" s="6"/>
      <c r="CB234" s="6"/>
      <c r="CC234" s="6"/>
      <c r="CD234" s="6"/>
      <c r="CE234" s="6"/>
      <c r="CF234" s="6"/>
      <c r="CG234" s="9">
        <v>0</v>
      </c>
    </row>
    <row r="235" spans="1:85" x14ac:dyDescent="0.3">
      <c r="A235" s="3" t="str">
        <f t="shared" si="5"/>
        <v>NON ADDOther Non-ADDMPS LEAPSTotal</v>
      </c>
      <c r="B235" s="6" t="s">
        <v>223</v>
      </c>
      <c r="C235" s="6" t="s">
        <v>294</v>
      </c>
      <c r="D235" s="6" t="s">
        <v>361</v>
      </c>
      <c r="E235" s="6" t="s">
        <v>24</v>
      </c>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8">
        <v>10</v>
      </c>
      <c r="AN235" s="6"/>
      <c r="AO235" s="6"/>
      <c r="AP235" s="8">
        <v>10</v>
      </c>
      <c r="AQ235" s="6"/>
      <c r="AR235" s="6"/>
      <c r="AS235" s="6"/>
      <c r="AT235" s="6"/>
      <c r="AU235" s="6"/>
      <c r="AV235" s="6"/>
      <c r="AW235" s="6"/>
      <c r="AX235" s="6"/>
      <c r="AY235" s="6"/>
      <c r="AZ235" s="6"/>
      <c r="BA235" s="6"/>
      <c r="BB235" s="6"/>
      <c r="BC235" s="6"/>
      <c r="BD235" s="6"/>
      <c r="BE235" s="6"/>
      <c r="BF235" s="6"/>
      <c r="BG235" s="6"/>
      <c r="BH235" s="6"/>
      <c r="BI235" s="6"/>
      <c r="BJ235" s="6"/>
      <c r="BK235" s="6"/>
      <c r="BL235" s="8">
        <v>10</v>
      </c>
      <c r="BM235" s="6"/>
      <c r="BN235" s="6"/>
      <c r="BO235" s="6"/>
      <c r="BP235" s="6"/>
      <c r="BQ235" s="6"/>
      <c r="BR235" s="6"/>
      <c r="BS235" s="6"/>
      <c r="BT235" s="6"/>
      <c r="BU235" s="6"/>
      <c r="BV235" s="6"/>
      <c r="BW235" s="6"/>
      <c r="BX235" s="6"/>
      <c r="BY235" s="6"/>
      <c r="BZ235" s="6"/>
      <c r="CA235" s="6"/>
      <c r="CB235" s="6"/>
      <c r="CC235" s="6"/>
      <c r="CD235" s="6"/>
      <c r="CE235" s="6"/>
      <c r="CF235" s="6"/>
      <c r="CG235" s="9">
        <v>10</v>
      </c>
    </row>
    <row r="236" spans="1:85" x14ac:dyDescent="0.3">
      <c r="A236" s="3" t="str">
        <f t="shared" si="5"/>
        <v>NON ADDOther Non-ADDMPS Partnerships for Research &amp; EducationTotal</v>
      </c>
      <c r="B236" s="6" t="s">
        <v>223</v>
      </c>
      <c r="C236" s="6" t="s">
        <v>294</v>
      </c>
      <c r="D236" s="6" t="s">
        <v>362</v>
      </c>
      <c r="E236" s="6" t="s">
        <v>24</v>
      </c>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8">
        <v>1.5</v>
      </c>
      <c r="AJ236" s="6"/>
      <c r="AK236" s="8">
        <v>9</v>
      </c>
      <c r="AL236" s="6"/>
      <c r="AM236" s="6"/>
      <c r="AN236" s="6"/>
      <c r="AO236" s="6"/>
      <c r="AP236" s="8">
        <v>10.5</v>
      </c>
      <c r="AQ236" s="6"/>
      <c r="AR236" s="6"/>
      <c r="AS236" s="6"/>
      <c r="AT236" s="6"/>
      <c r="AU236" s="6"/>
      <c r="AV236" s="6"/>
      <c r="AW236" s="6"/>
      <c r="AX236" s="6"/>
      <c r="AY236" s="6"/>
      <c r="AZ236" s="6"/>
      <c r="BA236" s="6"/>
      <c r="BB236" s="6"/>
      <c r="BC236" s="6"/>
      <c r="BD236" s="6"/>
      <c r="BE236" s="6"/>
      <c r="BF236" s="6"/>
      <c r="BG236" s="6"/>
      <c r="BH236" s="6"/>
      <c r="BI236" s="6"/>
      <c r="BJ236" s="6"/>
      <c r="BK236" s="6"/>
      <c r="BL236" s="8">
        <v>10.5</v>
      </c>
      <c r="BM236" s="6"/>
      <c r="BN236" s="6"/>
      <c r="BO236" s="6"/>
      <c r="BP236" s="6"/>
      <c r="BQ236" s="6"/>
      <c r="BR236" s="6"/>
      <c r="BS236" s="6"/>
      <c r="BT236" s="6"/>
      <c r="BU236" s="6"/>
      <c r="BV236" s="6"/>
      <c r="BW236" s="6"/>
      <c r="BX236" s="6"/>
      <c r="BY236" s="6"/>
      <c r="BZ236" s="6"/>
      <c r="CA236" s="6"/>
      <c r="CB236" s="6"/>
      <c r="CC236" s="6"/>
      <c r="CD236" s="6"/>
      <c r="CE236" s="6"/>
      <c r="CF236" s="6"/>
      <c r="CG236" s="9">
        <v>10.5</v>
      </c>
    </row>
    <row r="237" spans="1:85" x14ac:dyDescent="0.3">
      <c r="A237" s="3" t="str">
        <f t="shared" si="5"/>
        <v>NON ADDOther Non-ADDNational Earthquake Hazards Reduction Program (NEHRP)Total</v>
      </c>
      <c r="B237" s="6" t="s">
        <v>223</v>
      </c>
      <c r="C237" s="6" t="s">
        <v>294</v>
      </c>
      <c r="D237" s="6" t="s">
        <v>312</v>
      </c>
      <c r="E237" s="6" t="s">
        <v>24</v>
      </c>
      <c r="F237" s="6"/>
      <c r="G237" s="6"/>
      <c r="H237" s="6"/>
      <c r="I237" s="6"/>
      <c r="J237" s="6"/>
      <c r="K237" s="6"/>
      <c r="L237" s="6"/>
      <c r="M237" s="6"/>
      <c r="N237" s="6"/>
      <c r="O237" s="6"/>
      <c r="P237" s="6"/>
      <c r="Q237" s="6"/>
      <c r="R237" s="6"/>
      <c r="S237" s="6"/>
      <c r="T237" s="6"/>
      <c r="U237" s="6"/>
      <c r="V237" s="6"/>
      <c r="W237" s="6"/>
      <c r="X237" s="6"/>
      <c r="Y237" s="6"/>
      <c r="Z237" s="8">
        <v>42</v>
      </c>
      <c r="AA237" s="8">
        <v>42</v>
      </c>
      <c r="AB237" s="6"/>
      <c r="AC237" s="8">
        <v>12</v>
      </c>
      <c r="AD237" s="6"/>
      <c r="AE237" s="6"/>
      <c r="AF237" s="6"/>
      <c r="AG237" s="6"/>
      <c r="AH237" s="8">
        <v>12</v>
      </c>
      <c r="AI237" s="6"/>
      <c r="AJ237" s="6"/>
      <c r="AK237" s="6"/>
      <c r="AL237" s="6"/>
      <c r="AM237" s="6"/>
      <c r="AN237" s="6"/>
      <c r="AO237" s="6"/>
      <c r="AP237" s="6"/>
      <c r="AQ237" s="6"/>
      <c r="AR237" s="6"/>
      <c r="AS237" s="6"/>
      <c r="AT237" s="6"/>
      <c r="AU237" s="6"/>
      <c r="AV237" s="6"/>
      <c r="AW237" s="6"/>
      <c r="AX237" s="6"/>
      <c r="AY237" s="6"/>
      <c r="AZ237" s="6"/>
      <c r="BA237" s="8">
        <v>0</v>
      </c>
      <c r="BB237" s="8">
        <v>0</v>
      </c>
      <c r="BC237" s="6"/>
      <c r="BD237" s="6"/>
      <c r="BE237" s="6"/>
      <c r="BF237" s="6"/>
      <c r="BG237" s="6"/>
      <c r="BH237" s="6"/>
      <c r="BI237" s="6"/>
      <c r="BJ237" s="6"/>
      <c r="BK237" s="6"/>
      <c r="BL237" s="8">
        <v>54</v>
      </c>
      <c r="BM237" s="6"/>
      <c r="BN237" s="6"/>
      <c r="BO237" s="6"/>
      <c r="BP237" s="6"/>
      <c r="BQ237" s="6"/>
      <c r="BR237" s="6"/>
      <c r="BS237" s="6"/>
      <c r="BT237" s="6"/>
      <c r="BU237" s="6"/>
      <c r="BV237" s="6"/>
      <c r="BW237" s="6"/>
      <c r="BX237" s="6"/>
      <c r="BY237" s="6"/>
      <c r="BZ237" s="6"/>
      <c r="CA237" s="6"/>
      <c r="CB237" s="6"/>
      <c r="CC237" s="6"/>
      <c r="CD237" s="6"/>
      <c r="CE237" s="6"/>
      <c r="CF237" s="6"/>
      <c r="CG237" s="9">
        <v>54</v>
      </c>
    </row>
    <row r="238" spans="1:85" x14ac:dyDescent="0.3">
      <c r="A238" s="3" t="str">
        <f t="shared" si="5"/>
        <v>NON ADDOther Non-ADDNational Windstorm Impacts Reduction Program (NWIRP)Total</v>
      </c>
      <c r="B238" s="6" t="s">
        <v>223</v>
      </c>
      <c r="C238" s="6" t="s">
        <v>294</v>
      </c>
      <c r="D238" s="6" t="s">
        <v>363</v>
      </c>
      <c r="E238" s="6" t="s">
        <v>24</v>
      </c>
      <c r="F238" s="6"/>
      <c r="G238" s="6"/>
      <c r="H238" s="6"/>
      <c r="I238" s="6"/>
      <c r="J238" s="6"/>
      <c r="K238" s="6"/>
      <c r="L238" s="6"/>
      <c r="M238" s="6"/>
      <c r="N238" s="6"/>
      <c r="O238" s="6"/>
      <c r="P238" s="6"/>
      <c r="Q238" s="6"/>
      <c r="R238" s="6"/>
      <c r="S238" s="6"/>
      <c r="T238" s="6"/>
      <c r="U238" s="6"/>
      <c r="V238" s="6"/>
      <c r="W238" s="6"/>
      <c r="X238" s="6"/>
      <c r="Y238" s="6"/>
      <c r="Z238" s="8">
        <v>24</v>
      </c>
      <c r="AA238" s="8">
        <v>24</v>
      </c>
      <c r="AB238" s="6"/>
      <c r="AC238" s="6"/>
      <c r="AD238" s="6"/>
      <c r="AE238" s="6"/>
      <c r="AF238" s="6"/>
      <c r="AG238" s="8">
        <v>21.5</v>
      </c>
      <c r="AH238" s="8">
        <v>21.5</v>
      </c>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8">
        <v>45.5</v>
      </c>
      <c r="BM238" s="6"/>
      <c r="BN238" s="6"/>
      <c r="BO238" s="6"/>
      <c r="BP238" s="6"/>
      <c r="BQ238" s="6"/>
      <c r="BR238" s="6"/>
      <c r="BS238" s="6"/>
      <c r="BT238" s="6"/>
      <c r="BU238" s="6"/>
      <c r="BV238" s="6"/>
      <c r="BW238" s="6"/>
      <c r="BX238" s="6"/>
      <c r="BY238" s="6"/>
      <c r="BZ238" s="6"/>
      <c r="CA238" s="6"/>
      <c r="CB238" s="6"/>
      <c r="CC238" s="6"/>
      <c r="CD238" s="6"/>
      <c r="CE238" s="6"/>
      <c r="CF238" s="6"/>
      <c r="CG238" s="9">
        <v>45.5</v>
      </c>
    </row>
    <row r="239" spans="1:85" x14ac:dyDescent="0.3">
      <c r="A239" s="3" t="str">
        <f t="shared" si="5"/>
        <v>NON ADDOther Non-ADDNSF Scholarships in STEM (S-STEM) (H-1B)Total</v>
      </c>
      <c r="B239" s="6" t="s">
        <v>223</v>
      </c>
      <c r="C239" s="6" t="s">
        <v>294</v>
      </c>
      <c r="D239" s="6" t="s">
        <v>313</v>
      </c>
      <c r="E239" s="6" t="s">
        <v>24</v>
      </c>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8">
        <v>119.15</v>
      </c>
      <c r="BP239" s="6"/>
      <c r="BQ239" s="6"/>
      <c r="BR239" s="8">
        <v>119.15</v>
      </c>
      <c r="BS239" s="8">
        <v>119.15</v>
      </c>
      <c r="BT239" s="6"/>
      <c r="BU239" s="6"/>
      <c r="BV239" s="6"/>
      <c r="BW239" s="6"/>
      <c r="BX239" s="6"/>
      <c r="BY239" s="6"/>
      <c r="BZ239" s="6"/>
      <c r="CA239" s="6"/>
      <c r="CB239" s="6"/>
      <c r="CC239" s="6"/>
      <c r="CD239" s="6"/>
      <c r="CE239" s="6"/>
      <c r="CF239" s="6"/>
      <c r="CG239" s="9">
        <v>119.15</v>
      </c>
    </row>
    <row r="240" spans="1:85" x14ac:dyDescent="0.3">
      <c r="A240" s="3" t="str">
        <f t="shared" si="5"/>
        <v>NON ADDOther Non-ADDPlant Genome ResearchTotal</v>
      </c>
      <c r="B240" s="6" t="s">
        <v>223</v>
      </c>
      <c r="C240" s="6" t="s">
        <v>294</v>
      </c>
      <c r="D240" s="6" t="s">
        <v>315</v>
      </c>
      <c r="E240" s="6" t="s">
        <v>24</v>
      </c>
      <c r="F240" s="6"/>
      <c r="G240" s="6"/>
      <c r="H240" s="6"/>
      <c r="I240" s="6"/>
      <c r="J240" s="6"/>
      <c r="K240" s="8">
        <v>49.66</v>
      </c>
      <c r="L240" s="8">
        <v>49.66</v>
      </c>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8">
        <v>49.66</v>
      </c>
      <c r="BM240" s="6"/>
      <c r="BN240" s="6"/>
      <c r="BO240" s="6"/>
      <c r="BP240" s="6"/>
      <c r="BQ240" s="6"/>
      <c r="BR240" s="6"/>
      <c r="BS240" s="6"/>
      <c r="BT240" s="6"/>
      <c r="BU240" s="6"/>
      <c r="BV240" s="6"/>
      <c r="BW240" s="6"/>
      <c r="BX240" s="6"/>
      <c r="BY240" s="6"/>
      <c r="BZ240" s="6"/>
      <c r="CA240" s="6"/>
      <c r="CB240" s="6"/>
      <c r="CC240" s="6"/>
      <c r="CD240" s="6"/>
      <c r="CE240" s="6"/>
      <c r="CF240" s="6"/>
      <c r="CG240" s="9">
        <v>49.66</v>
      </c>
    </row>
    <row r="241" spans="1:85" x14ac:dyDescent="0.3">
      <c r="A241" s="3" t="str">
        <f t="shared" si="5"/>
        <v>NON ADDOther Non-ADDResearch at Undergraduate Institutions (RUI)Total</v>
      </c>
      <c r="B241" s="6" t="s">
        <v>223</v>
      </c>
      <c r="C241" s="6" t="s">
        <v>294</v>
      </c>
      <c r="D241" s="6" t="s">
        <v>318</v>
      </c>
      <c r="E241" s="6" t="s">
        <v>24</v>
      </c>
      <c r="F241" s="6"/>
      <c r="G241" s="6"/>
      <c r="H241" s="6"/>
      <c r="I241" s="6"/>
      <c r="J241" s="6"/>
      <c r="K241" s="8">
        <v>15</v>
      </c>
      <c r="L241" s="8">
        <v>15</v>
      </c>
      <c r="M241" s="6"/>
      <c r="N241" s="6"/>
      <c r="O241" s="6"/>
      <c r="P241" s="6"/>
      <c r="Q241" s="6"/>
      <c r="R241" s="8">
        <v>4.5</v>
      </c>
      <c r="S241" s="8">
        <v>4.5</v>
      </c>
      <c r="T241" s="6"/>
      <c r="U241" s="6"/>
      <c r="V241" s="6"/>
      <c r="W241" s="6"/>
      <c r="X241" s="6"/>
      <c r="Y241" s="6"/>
      <c r="Z241" s="6"/>
      <c r="AA241" s="6"/>
      <c r="AB241" s="6"/>
      <c r="AC241" s="6"/>
      <c r="AD241" s="6"/>
      <c r="AE241" s="6"/>
      <c r="AF241" s="6"/>
      <c r="AG241" s="6"/>
      <c r="AH241" s="6"/>
      <c r="AI241" s="8">
        <v>1</v>
      </c>
      <c r="AJ241" s="8">
        <v>6.6</v>
      </c>
      <c r="AK241" s="8">
        <v>2</v>
      </c>
      <c r="AL241" s="8">
        <v>2</v>
      </c>
      <c r="AM241" s="6"/>
      <c r="AN241" s="8">
        <v>3.29</v>
      </c>
      <c r="AO241" s="6"/>
      <c r="AP241" s="8">
        <v>14.89</v>
      </c>
      <c r="AQ241" s="8">
        <v>0</v>
      </c>
      <c r="AR241" s="6"/>
      <c r="AS241" s="6"/>
      <c r="AT241" s="8">
        <v>0</v>
      </c>
      <c r="AU241" s="8">
        <v>0.6</v>
      </c>
      <c r="AV241" s="8">
        <v>0.6</v>
      </c>
      <c r="AW241" s="6"/>
      <c r="AX241" s="6"/>
      <c r="AY241" s="6"/>
      <c r="AZ241" s="6"/>
      <c r="BA241" s="6"/>
      <c r="BB241" s="6"/>
      <c r="BC241" s="6"/>
      <c r="BD241" s="6"/>
      <c r="BE241" s="6"/>
      <c r="BF241" s="6"/>
      <c r="BG241" s="6"/>
      <c r="BH241" s="6"/>
      <c r="BI241" s="6"/>
      <c r="BJ241" s="6"/>
      <c r="BK241" s="6"/>
      <c r="BL241" s="8">
        <v>34.99</v>
      </c>
      <c r="BM241" s="6"/>
      <c r="BN241" s="6"/>
      <c r="BO241" s="6"/>
      <c r="BP241" s="6"/>
      <c r="BQ241" s="6"/>
      <c r="BR241" s="6"/>
      <c r="BS241" s="6"/>
      <c r="BT241" s="6"/>
      <c r="BU241" s="6"/>
      <c r="BV241" s="6"/>
      <c r="BW241" s="6"/>
      <c r="BX241" s="6"/>
      <c r="BY241" s="6"/>
      <c r="BZ241" s="6"/>
      <c r="CA241" s="6"/>
      <c r="CB241" s="6"/>
      <c r="CC241" s="6"/>
      <c r="CD241" s="6"/>
      <c r="CE241" s="6"/>
      <c r="CF241" s="6"/>
      <c r="CG241" s="9">
        <v>34.99</v>
      </c>
    </row>
    <row r="242" spans="1:85" x14ac:dyDescent="0.3">
      <c r="A242" s="3" t="str">
        <f t="shared" si="5"/>
        <v>NON ADDOther Non-ADDResearch in Disabilities Education (RDE)Total</v>
      </c>
      <c r="B242" s="6" t="s">
        <v>223</v>
      </c>
      <c r="C242" s="6" t="s">
        <v>294</v>
      </c>
      <c r="D242" s="6" t="s">
        <v>319</v>
      </c>
      <c r="E242" s="6" t="s">
        <v>24</v>
      </c>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8">
        <v>6.5</v>
      </c>
      <c r="BO242" s="6"/>
      <c r="BP242" s="6"/>
      <c r="BQ242" s="6"/>
      <c r="BR242" s="8">
        <v>6.5</v>
      </c>
      <c r="BS242" s="8">
        <v>6.5</v>
      </c>
      <c r="BT242" s="6"/>
      <c r="BU242" s="6"/>
      <c r="BV242" s="6"/>
      <c r="BW242" s="6"/>
      <c r="BX242" s="6"/>
      <c r="BY242" s="6"/>
      <c r="BZ242" s="6"/>
      <c r="CA242" s="6"/>
      <c r="CB242" s="6"/>
      <c r="CC242" s="6"/>
      <c r="CD242" s="6"/>
      <c r="CE242" s="6"/>
      <c r="CF242" s="6"/>
      <c r="CG242" s="9">
        <v>6.5</v>
      </c>
    </row>
    <row r="243" spans="1:85" x14ac:dyDescent="0.3">
      <c r="A243" s="3" t="str">
        <f t="shared" si="5"/>
        <v>NON ADDOther Non-ADDResearch on Gender in Science &amp; Engineering (GSE)Total</v>
      </c>
      <c r="B243" s="6" t="s">
        <v>223</v>
      </c>
      <c r="C243" s="6" t="s">
        <v>294</v>
      </c>
      <c r="D243" s="6" t="s">
        <v>320</v>
      </c>
      <c r="E243" s="6" t="s">
        <v>24</v>
      </c>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8">
        <v>10.5</v>
      </c>
      <c r="BO243" s="6"/>
      <c r="BP243" s="6"/>
      <c r="BQ243" s="6"/>
      <c r="BR243" s="8">
        <v>10.5</v>
      </c>
      <c r="BS243" s="8">
        <v>10.5</v>
      </c>
      <c r="BT243" s="6"/>
      <c r="BU243" s="6"/>
      <c r="BV243" s="6"/>
      <c r="BW243" s="6"/>
      <c r="BX243" s="6"/>
      <c r="BY243" s="6"/>
      <c r="BZ243" s="6"/>
      <c r="CA243" s="6"/>
      <c r="CB243" s="6"/>
      <c r="CC243" s="6"/>
      <c r="CD243" s="6"/>
      <c r="CE243" s="6"/>
      <c r="CF243" s="6"/>
      <c r="CG243" s="9">
        <v>10.5</v>
      </c>
    </row>
    <row r="244" spans="1:85" x14ac:dyDescent="0.3">
      <c r="A244" s="3" t="str">
        <f t="shared" si="5"/>
        <v>NON ADDOther Non-ADDSBE Build and BroadenTotal</v>
      </c>
      <c r="B244" s="6" t="s">
        <v>223</v>
      </c>
      <c r="C244" s="6" t="s">
        <v>294</v>
      </c>
      <c r="D244" s="6" t="s">
        <v>321</v>
      </c>
      <c r="E244" s="6" t="s">
        <v>24</v>
      </c>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8">
        <v>8</v>
      </c>
      <c r="AV244" s="8">
        <v>8</v>
      </c>
      <c r="AW244" s="6"/>
      <c r="AX244" s="6"/>
      <c r="AY244" s="6"/>
      <c r="AZ244" s="6"/>
      <c r="BA244" s="6"/>
      <c r="BB244" s="6"/>
      <c r="BC244" s="6"/>
      <c r="BD244" s="6"/>
      <c r="BE244" s="6"/>
      <c r="BF244" s="6"/>
      <c r="BG244" s="6"/>
      <c r="BH244" s="6"/>
      <c r="BI244" s="6"/>
      <c r="BJ244" s="6"/>
      <c r="BK244" s="6"/>
      <c r="BL244" s="8">
        <v>8</v>
      </c>
      <c r="BM244" s="6"/>
      <c r="BN244" s="6"/>
      <c r="BO244" s="6"/>
      <c r="BP244" s="6"/>
      <c r="BQ244" s="6"/>
      <c r="BR244" s="6"/>
      <c r="BS244" s="6"/>
      <c r="BT244" s="6"/>
      <c r="BU244" s="6"/>
      <c r="BV244" s="6"/>
      <c r="BW244" s="6"/>
      <c r="BX244" s="6"/>
      <c r="BY244" s="6"/>
      <c r="BZ244" s="6"/>
      <c r="CA244" s="6"/>
      <c r="CB244" s="6"/>
      <c r="CC244" s="6"/>
      <c r="CD244" s="6"/>
      <c r="CE244" s="6"/>
      <c r="CF244" s="6"/>
      <c r="CG244" s="9">
        <v>8</v>
      </c>
    </row>
    <row r="245" spans="1:85" x14ac:dyDescent="0.3">
      <c r="A245" s="3" t="str">
        <f t="shared" si="5"/>
        <v>NON ADDOther Non-ADDSBE Science of Broadening ParticipationTotal</v>
      </c>
      <c r="B245" s="6" t="s">
        <v>223</v>
      </c>
      <c r="C245" s="6" t="s">
        <v>294</v>
      </c>
      <c r="D245" s="6" t="s">
        <v>322</v>
      </c>
      <c r="E245" s="6" t="s">
        <v>24</v>
      </c>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8">
        <v>1.5</v>
      </c>
      <c r="AV245" s="8">
        <v>1.5</v>
      </c>
      <c r="AW245" s="6"/>
      <c r="AX245" s="6"/>
      <c r="AY245" s="6"/>
      <c r="AZ245" s="6"/>
      <c r="BA245" s="6"/>
      <c r="BB245" s="6"/>
      <c r="BC245" s="6"/>
      <c r="BD245" s="6"/>
      <c r="BE245" s="6"/>
      <c r="BF245" s="6"/>
      <c r="BG245" s="6"/>
      <c r="BH245" s="6"/>
      <c r="BI245" s="6"/>
      <c r="BJ245" s="6"/>
      <c r="BK245" s="6"/>
      <c r="BL245" s="8">
        <v>1.5</v>
      </c>
      <c r="BM245" s="6"/>
      <c r="BN245" s="6"/>
      <c r="BO245" s="6"/>
      <c r="BP245" s="6"/>
      <c r="BQ245" s="6"/>
      <c r="BR245" s="6"/>
      <c r="BS245" s="6"/>
      <c r="BT245" s="6"/>
      <c r="BU245" s="6"/>
      <c r="BV245" s="6"/>
      <c r="BW245" s="6"/>
      <c r="BX245" s="6"/>
      <c r="BY245" s="6"/>
      <c r="BZ245" s="6"/>
      <c r="CA245" s="6"/>
      <c r="CB245" s="6"/>
      <c r="CC245" s="6"/>
      <c r="CD245" s="6"/>
      <c r="CE245" s="6"/>
      <c r="CF245" s="6"/>
      <c r="CG245" s="9">
        <v>1.5</v>
      </c>
    </row>
    <row r="246" spans="1:85" x14ac:dyDescent="0.3">
      <c r="A246" s="3" t="str">
        <f t="shared" si="5"/>
        <v>NON ADDOther Non-ADDSignificant Opportunities in Atmospheric Rsch &amp; Sci (SOARS)Total</v>
      </c>
      <c r="B246" s="6" t="s">
        <v>223</v>
      </c>
      <c r="C246" s="6" t="s">
        <v>294</v>
      </c>
      <c r="D246" s="6" t="s">
        <v>323</v>
      </c>
      <c r="E246" s="6" t="s">
        <v>24</v>
      </c>
      <c r="F246" s="6"/>
      <c r="G246" s="6"/>
      <c r="H246" s="6"/>
      <c r="I246" s="6"/>
      <c r="J246" s="6"/>
      <c r="K246" s="6"/>
      <c r="L246" s="6"/>
      <c r="M246" s="6"/>
      <c r="N246" s="6"/>
      <c r="O246" s="6"/>
      <c r="P246" s="6"/>
      <c r="Q246" s="6"/>
      <c r="R246" s="6"/>
      <c r="S246" s="6"/>
      <c r="T246" s="6"/>
      <c r="U246" s="6"/>
      <c r="V246" s="6"/>
      <c r="W246" s="6"/>
      <c r="X246" s="6"/>
      <c r="Y246" s="6"/>
      <c r="Z246" s="6"/>
      <c r="AA246" s="6"/>
      <c r="AB246" s="8">
        <v>0.85</v>
      </c>
      <c r="AC246" s="6"/>
      <c r="AD246" s="6"/>
      <c r="AE246" s="6"/>
      <c r="AF246" s="6"/>
      <c r="AG246" s="6"/>
      <c r="AH246" s="8">
        <v>0.85</v>
      </c>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8">
        <v>0.85</v>
      </c>
      <c r="BM246" s="6"/>
      <c r="BN246" s="6"/>
      <c r="BO246" s="6"/>
      <c r="BP246" s="6"/>
      <c r="BQ246" s="6"/>
      <c r="BR246" s="6"/>
      <c r="BS246" s="6"/>
      <c r="BT246" s="6"/>
      <c r="BU246" s="6"/>
      <c r="BV246" s="6"/>
      <c r="BW246" s="6"/>
      <c r="BX246" s="6"/>
      <c r="BY246" s="6"/>
      <c r="BZ246" s="6"/>
      <c r="CA246" s="6"/>
      <c r="CB246" s="6"/>
      <c r="CC246" s="6"/>
      <c r="CD246" s="6"/>
      <c r="CE246" s="6"/>
      <c r="CF246" s="6"/>
      <c r="CG246" s="9">
        <v>0.85</v>
      </c>
    </row>
    <row r="247" spans="1:85" x14ac:dyDescent="0.3">
      <c r="A247" s="3" t="str">
        <f t="shared" si="5"/>
        <v>NON ADDOther Non-ADDSpectrum Innovation InitiativeTotal</v>
      </c>
      <c r="B247" s="6" t="s">
        <v>223</v>
      </c>
      <c r="C247" s="6" t="s">
        <v>294</v>
      </c>
      <c r="D247" s="6" t="s">
        <v>324</v>
      </c>
      <c r="E247" s="6" t="s">
        <v>24</v>
      </c>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8">
        <v>17</v>
      </c>
      <c r="AN247" s="6"/>
      <c r="AO247" s="6"/>
      <c r="AP247" s="8">
        <v>17</v>
      </c>
      <c r="AQ247" s="6"/>
      <c r="AR247" s="6"/>
      <c r="AS247" s="6"/>
      <c r="AT247" s="6"/>
      <c r="AU247" s="6"/>
      <c r="AV247" s="6"/>
      <c r="AW247" s="6"/>
      <c r="AX247" s="6"/>
      <c r="AY247" s="6"/>
      <c r="AZ247" s="6"/>
      <c r="BA247" s="6"/>
      <c r="BB247" s="6"/>
      <c r="BC247" s="6"/>
      <c r="BD247" s="6"/>
      <c r="BE247" s="6"/>
      <c r="BF247" s="6"/>
      <c r="BG247" s="6"/>
      <c r="BH247" s="6"/>
      <c r="BI247" s="6"/>
      <c r="BJ247" s="6"/>
      <c r="BK247" s="6"/>
      <c r="BL247" s="8">
        <v>17</v>
      </c>
      <c r="BM247" s="6"/>
      <c r="BN247" s="6"/>
      <c r="BO247" s="6"/>
      <c r="BP247" s="6"/>
      <c r="BQ247" s="6"/>
      <c r="BR247" s="6"/>
      <c r="BS247" s="6"/>
      <c r="BT247" s="6"/>
      <c r="BU247" s="6"/>
      <c r="BV247" s="6"/>
      <c r="BW247" s="6"/>
      <c r="BX247" s="6"/>
      <c r="BY247" s="6"/>
      <c r="BZ247" s="6"/>
      <c r="CA247" s="6"/>
      <c r="CB247" s="6"/>
      <c r="CC247" s="6"/>
      <c r="CD247" s="6"/>
      <c r="CE247" s="6"/>
      <c r="CF247" s="6"/>
      <c r="CG247" s="9">
        <v>17</v>
      </c>
    </row>
  </sheetData>
  <mergeCells count="13">
    <mergeCell ref="F2:J2"/>
    <mergeCell ref="F4:BL4"/>
    <mergeCell ref="BM4:BS4"/>
    <mergeCell ref="BT4:BV4"/>
    <mergeCell ref="BW4:BZ4"/>
    <mergeCell ref="CD4:CF4"/>
    <mergeCell ref="BL5:BL6"/>
    <mergeCell ref="BS5:BS6"/>
    <mergeCell ref="BV5:BV6"/>
    <mergeCell ref="BZ5:BZ6"/>
    <mergeCell ref="CC5:CC6"/>
    <mergeCell ref="CF5:CF6"/>
    <mergeCell ref="CA4:CC4"/>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52AB-D8CB-45F3-B6B9-F7C9D5C8ACDB}">
  <sheetPr>
    <tabColor theme="7" tint="0.79998168889431442"/>
  </sheetPr>
  <dimension ref="A1:N26"/>
  <sheetViews>
    <sheetView showGridLines="0" workbookViewId="0">
      <selection activeCell="C17" sqref="C17"/>
    </sheetView>
  </sheetViews>
  <sheetFormatPr defaultColWidth="9.44140625" defaultRowHeight="15" outlineLevelCol="1" x14ac:dyDescent="0.35"/>
  <cols>
    <col min="1" max="1" width="10.6640625" style="17" customWidth="1"/>
    <col min="2" max="2" width="11.6640625" style="17" hidden="1" customWidth="1" outlineLevel="1"/>
    <col min="3" max="3" width="60.6640625" style="17" bestFit="1" customWidth="1" collapsed="1"/>
    <col min="4" max="4" width="11.5546875" style="230" hidden="1" customWidth="1" outlineLevel="1"/>
    <col min="5" max="5" width="12.6640625" style="17" customWidth="1" collapsed="1"/>
    <col min="6" max="7" width="12.6640625" style="17" customWidth="1"/>
    <col min="8" max="8" width="15.6640625" style="46" customWidth="1"/>
    <col min="9" max="9" width="15.6640625" style="17" customWidth="1"/>
    <col min="10" max="16384" width="9.44140625" style="17"/>
  </cols>
  <sheetData>
    <row r="1" spans="1:9" x14ac:dyDescent="0.35">
      <c r="A1" s="727" t="s">
        <v>859</v>
      </c>
      <c r="B1" s="727"/>
      <c r="C1" s="727"/>
      <c r="D1" s="727"/>
      <c r="E1" s="727"/>
      <c r="F1" s="727"/>
      <c r="G1" s="727"/>
      <c r="H1" s="727"/>
      <c r="I1" s="727"/>
    </row>
    <row r="2" spans="1:9" x14ac:dyDescent="0.35">
      <c r="A2" s="727" t="s">
        <v>860</v>
      </c>
      <c r="B2" s="727"/>
      <c r="C2" s="727"/>
      <c r="D2" s="727"/>
      <c r="E2" s="727"/>
      <c r="F2" s="727"/>
      <c r="G2" s="727"/>
      <c r="H2" s="727"/>
      <c r="I2" s="727"/>
    </row>
    <row r="3" spans="1:9" ht="15.6" thickBot="1" x14ac:dyDescent="0.4">
      <c r="A3" s="762" t="s">
        <v>369</v>
      </c>
      <c r="B3" s="762"/>
      <c r="C3" s="762"/>
      <c r="D3" s="762"/>
      <c r="E3" s="762"/>
      <c r="F3" s="762"/>
      <c r="G3" s="762"/>
      <c r="H3" s="763"/>
      <c r="I3" s="763"/>
    </row>
    <row r="4" spans="1:9" ht="20.7" customHeight="1" thickBot="1" x14ac:dyDescent="0.4">
      <c r="A4" s="753" t="s">
        <v>861</v>
      </c>
      <c r="B4" s="753" t="s">
        <v>862</v>
      </c>
      <c r="C4" s="755" t="s">
        <v>863</v>
      </c>
      <c r="D4" s="757" t="s">
        <v>864</v>
      </c>
      <c r="E4" s="759" t="s">
        <v>865</v>
      </c>
      <c r="F4" s="760"/>
      <c r="G4" s="761"/>
      <c r="H4" s="751" t="s">
        <v>900</v>
      </c>
      <c r="I4" s="752"/>
    </row>
    <row r="5" spans="1:9" ht="109.95" customHeight="1" thickBot="1" x14ac:dyDescent="0.4">
      <c r="A5" s="754"/>
      <c r="B5" s="754"/>
      <c r="C5" s="756"/>
      <c r="D5" s="758"/>
      <c r="E5" s="511" t="s">
        <v>866</v>
      </c>
      <c r="F5" s="512" t="s">
        <v>867</v>
      </c>
      <c r="G5" s="513" t="s">
        <v>868</v>
      </c>
      <c r="H5" s="514" t="s">
        <v>869</v>
      </c>
      <c r="I5" s="578" t="s">
        <v>899</v>
      </c>
    </row>
    <row r="6" spans="1:9" x14ac:dyDescent="0.35">
      <c r="A6" s="583" t="s">
        <v>0</v>
      </c>
      <c r="B6" s="515" t="s">
        <v>383</v>
      </c>
      <c r="C6" s="516" t="s">
        <v>870</v>
      </c>
      <c r="D6" s="517">
        <v>6.9</v>
      </c>
      <c r="E6" s="582">
        <v>6.9</v>
      </c>
      <c r="F6" s="518">
        <v>0</v>
      </c>
      <c r="G6" s="519">
        <f>SUM(E6:F6)</f>
        <v>6.9</v>
      </c>
      <c r="H6" s="735">
        <v>5</v>
      </c>
      <c r="I6" s="737">
        <v>3</v>
      </c>
    </row>
    <row r="7" spans="1:9" x14ac:dyDescent="0.35">
      <c r="A7" s="584" t="s">
        <v>0</v>
      </c>
      <c r="B7" s="520" t="s">
        <v>871</v>
      </c>
      <c r="C7" s="521" t="s">
        <v>872</v>
      </c>
      <c r="D7" s="522">
        <v>20</v>
      </c>
      <c r="E7" s="523">
        <v>0</v>
      </c>
      <c r="F7" s="524">
        <v>19.100000000000001</v>
      </c>
      <c r="G7" s="525">
        <f t="shared" ref="G7:G21" si="0">SUM(E7:F7)</f>
        <v>19.100000000000001</v>
      </c>
      <c r="H7" s="736"/>
      <c r="I7" s="738"/>
    </row>
    <row r="8" spans="1:9" x14ac:dyDescent="0.35">
      <c r="A8" s="526" t="s">
        <v>1</v>
      </c>
      <c r="B8" s="526" t="s">
        <v>383</v>
      </c>
      <c r="C8" s="527" t="s">
        <v>873</v>
      </c>
      <c r="D8" s="528">
        <v>17.526</v>
      </c>
      <c r="E8" s="529">
        <v>17.53</v>
      </c>
      <c r="F8" s="530">
        <v>0</v>
      </c>
      <c r="G8" s="531">
        <f t="shared" si="0"/>
        <v>17.53</v>
      </c>
      <c r="H8" s="532">
        <v>5</v>
      </c>
      <c r="I8" s="572">
        <v>3</v>
      </c>
    </row>
    <row r="9" spans="1:9" s="230" customFormat="1" x14ac:dyDescent="0.3">
      <c r="A9" s="581" t="s">
        <v>2</v>
      </c>
      <c r="B9" s="533" t="s">
        <v>874</v>
      </c>
      <c r="C9" s="534" t="s">
        <v>875</v>
      </c>
      <c r="D9" s="528">
        <v>18.5</v>
      </c>
      <c r="E9" s="580">
        <v>4.1550000000000002</v>
      </c>
      <c r="F9" s="535">
        <v>10.844999999999999</v>
      </c>
      <c r="G9" s="536">
        <f t="shared" si="0"/>
        <v>15</v>
      </c>
      <c r="H9" s="537">
        <v>5</v>
      </c>
      <c r="I9" s="573">
        <v>3</v>
      </c>
    </row>
    <row r="10" spans="1:9" x14ac:dyDescent="0.35">
      <c r="A10" s="538" t="s">
        <v>876</v>
      </c>
      <c r="B10" s="538" t="s">
        <v>82</v>
      </c>
      <c r="C10" s="539" t="s">
        <v>877</v>
      </c>
      <c r="D10" s="540">
        <f>2*0.19</f>
        <v>0.38</v>
      </c>
      <c r="E10" s="541">
        <v>0</v>
      </c>
      <c r="F10" s="739">
        <v>5</v>
      </c>
      <c r="G10" s="742">
        <f t="shared" si="0"/>
        <v>5</v>
      </c>
      <c r="H10" s="745">
        <v>0</v>
      </c>
      <c r="I10" s="748">
        <v>0</v>
      </c>
    </row>
    <row r="11" spans="1:9" x14ac:dyDescent="0.35">
      <c r="A11" s="492" t="s">
        <v>876</v>
      </c>
      <c r="B11" s="492" t="s">
        <v>871</v>
      </c>
      <c r="C11" s="542" t="s">
        <v>878</v>
      </c>
      <c r="D11" s="543">
        <v>9</v>
      </c>
      <c r="E11" s="544">
        <v>0</v>
      </c>
      <c r="F11" s="740"/>
      <c r="G11" s="743"/>
      <c r="H11" s="746">
        <v>0</v>
      </c>
      <c r="I11" s="749"/>
    </row>
    <row r="12" spans="1:9" x14ac:dyDescent="0.35">
      <c r="A12" s="492" t="s">
        <v>876</v>
      </c>
      <c r="B12" s="492" t="s">
        <v>82</v>
      </c>
      <c r="C12" s="542" t="s">
        <v>879</v>
      </c>
      <c r="D12" s="543">
        <v>8</v>
      </c>
      <c r="E12" s="544">
        <v>0</v>
      </c>
      <c r="F12" s="740"/>
      <c r="G12" s="743"/>
      <c r="H12" s="746">
        <v>0</v>
      </c>
      <c r="I12" s="749"/>
    </row>
    <row r="13" spans="1:9" x14ac:dyDescent="0.35">
      <c r="A13" s="520" t="s">
        <v>876</v>
      </c>
      <c r="B13" s="520" t="s">
        <v>871</v>
      </c>
      <c r="C13" s="521" t="s">
        <v>880</v>
      </c>
      <c r="D13" s="522">
        <v>3</v>
      </c>
      <c r="E13" s="523">
        <v>0</v>
      </c>
      <c r="F13" s="741"/>
      <c r="G13" s="744"/>
      <c r="H13" s="747">
        <v>0</v>
      </c>
      <c r="I13" s="750"/>
    </row>
    <row r="14" spans="1:9" x14ac:dyDescent="0.35">
      <c r="A14" s="590" t="s">
        <v>7</v>
      </c>
      <c r="B14" s="538" t="s">
        <v>383</v>
      </c>
      <c r="C14" s="539" t="s">
        <v>881</v>
      </c>
      <c r="D14" s="540">
        <v>9</v>
      </c>
      <c r="E14" s="585">
        <v>9</v>
      </c>
      <c r="F14" s="530">
        <v>0</v>
      </c>
      <c r="G14" s="545">
        <f t="shared" si="0"/>
        <v>9</v>
      </c>
      <c r="H14" s="546">
        <v>9</v>
      </c>
      <c r="I14" s="730">
        <v>7.3280000000000003</v>
      </c>
    </row>
    <row r="15" spans="1:9" x14ac:dyDescent="0.35">
      <c r="A15" s="591" t="s">
        <v>7</v>
      </c>
      <c r="B15" s="492" t="s">
        <v>82</v>
      </c>
      <c r="C15" s="542" t="s">
        <v>882</v>
      </c>
      <c r="D15" s="543">
        <v>3</v>
      </c>
      <c r="E15" s="586">
        <v>0</v>
      </c>
      <c r="F15" s="547">
        <v>3</v>
      </c>
      <c r="G15" s="548">
        <f t="shared" si="0"/>
        <v>3</v>
      </c>
      <c r="H15" s="549">
        <v>0</v>
      </c>
      <c r="I15" s="731"/>
    </row>
    <row r="16" spans="1:9" x14ac:dyDescent="0.35">
      <c r="A16" s="591" t="s">
        <v>7</v>
      </c>
      <c r="B16" s="492" t="s">
        <v>871</v>
      </c>
      <c r="C16" s="542" t="s">
        <v>883</v>
      </c>
      <c r="D16" s="543">
        <v>6</v>
      </c>
      <c r="E16" s="586">
        <v>0</v>
      </c>
      <c r="F16" s="547">
        <v>6</v>
      </c>
      <c r="G16" s="548">
        <f t="shared" si="0"/>
        <v>6</v>
      </c>
      <c r="H16" s="549">
        <v>0</v>
      </c>
      <c r="I16" s="731"/>
    </row>
    <row r="17" spans="1:14" x14ac:dyDescent="0.35">
      <c r="A17" s="584" t="s">
        <v>7</v>
      </c>
      <c r="B17" s="520" t="s">
        <v>383</v>
      </c>
      <c r="C17" s="521" t="s">
        <v>884</v>
      </c>
      <c r="D17" s="522">
        <v>1</v>
      </c>
      <c r="E17" s="587">
        <v>1</v>
      </c>
      <c r="F17" s="547">
        <v>0</v>
      </c>
      <c r="G17" s="525">
        <f t="shared" si="0"/>
        <v>1</v>
      </c>
      <c r="H17" s="550">
        <v>1</v>
      </c>
      <c r="I17" s="732"/>
    </row>
    <row r="18" spans="1:14" x14ac:dyDescent="0.35">
      <c r="A18" s="589" t="s">
        <v>8</v>
      </c>
      <c r="B18" s="526" t="s">
        <v>383</v>
      </c>
      <c r="C18" s="527" t="s">
        <v>885</v>
      </c>
      <c r="D18" s="528">
        <v>4.5</v>
      </c>
      <c r="E18" s="588">
        <v>4.5</v>
      </c>
      <c r="F18" s="551">
        <v>0</v>
      </c>
      <c r="G18" s="531">
        <f t="shared" si="0"/>
        <v>4.5</v>
      </c>
      <c r="H18" s="532">
        <v>2.5</v>
      </c>
      <c r="I18" s="572">
        <v>2</v>
      </c>
      <c r="J18" s="577"/>
    </row>
    <row r="19" spans="1:14" x14ac:dyDescent="0.35">
      <c r="A19" s="526" t="s">
        <v>886</v>
      </c>
      <c r="B19" s="526" t="s">
        <v>383</v>
      </c>
      <c r="C19" s="527" t="s">
        <v>142</v>
      </c>
      <c r="D19" s="528">
        <v>20</v>
      </c>
      <c r="E19" s="529">
        <v>5</v>
      </c>
      <c r="F19" s="551">
        <v>0</v>
      </c>
      <c r="G19" s="531">
        <f t="shared" si="0"/>
        <v>5</v>
      </c>
      <c r="H19" s="532" t="s">
        <v>422</v>
      </c>
      <c r="I19" s="572" t="s">
        <v>422</v>
      </c>
    </row>
    <row r="20" spans="1:14" x14ac:dyDescent="0.35">
      <c r="A20" s="520" t="s">
        <v>13</v>
      </c>
      <c r="B20" s="520" t="s">
        <v>383</v>
      </c>
      <c r="C20" s="521" t="s">
        <v>887</v>
      </c>
      <c r="D20" s="522">
        <v>3.2</v>
      </c>
      <c r="E20" s="523">
        <v>2.97</v>
      </c>
      <c r="F20" s="547">
        <v>0</v>
      </c>
      <c r="G20" s="525">
        <f t="shared" si="0"/>
        <v>2.97</v>
      </c>
      <c r="H20" s="550" t="s">
        <v>422</v>
      </c>
      <c r="I20" s="574" t="s">
        <v>422</v>
      </c>
    </row>
    <row r="21" spans="1:14" ht="15.6" thickBot="1" x14ac:dyDescent="0.4">
      <c r="A21" s="552" t="s">
        <v>30</v>
      </c>
      <c r="B21" s="552" t="s">
        <v>383</v>
      </c>
      <c r="C21" s="553" t="s">
        <v>888</v>
      </c>
      <c r="D21" s="554">
        <v>8</v>
      </c>
      <c r="E21" s="555">
        <v>5</v>
      </c>
      <c r="F21" s="556">
        <v>0</v>
      </c>
      <c r="G21" s="557">
        <f t="shared" si="0"/>
        <v>5</v>
      </c>
      <c r="H21" s="558" t="s">
        <v>422</v>
      </c>
      <c r="I21" s="575" t="s">
        <v>422</v>
      </c>
    </row>
    <row r="22" spans="1:14" s="564" customFormat="1" ht="18" thickBot="1" x14ac:dyDescent="0.35">
      <c r="A22" s="733" t="s">
        <v>889</v>
      </c>
      <c r="B22" s="733"/>
      <c r="C22" s="734"/>
      <c r="D22" s="559">
        <f t="shared" ref="D22:I22" si="1">SUM(D6:D21)</f>
        <v>138.006</v>
      </c>
      <c r="E22" s="560">
        <f t="shared" si="1"/>
        <v>56.055</v>
      </c>
      <c r="F22" s="561">
        <f t="shared" si="1"/>
        <v>43.945</v>
      </c>
      <c r="G22" s="562">
        <f t="shared" si="1"/>
        <v>100</v>
      </c>
      <c r="H22" s="563">
        <f t="shared" si="1"/>
        <v>27.5</v>
      </c>
      <c r="I22" s="576">
        <f t="shared" si="1"/>
        <v>18.327999999999999</v>
      </c>
    </row>
    <row r="24" spans="1:14" x14ac:dyDescent="0.35">
      <c r="A24" s="83" t="s">
        <v>890</v>
      </c>
      <c r="N24" s="571"/>
    </row>
    <row r="26" spans="1:14" x14ac:dyDescent="0.35">
      <c r="I26" s="410"/>
    </row>
  </sheetData>
  <mergeCells count="17">
    <mergeCell ref="A1:I1"/>
    <mergeCell ref="A2:I2"/>
    <mergeCell ref="H4:I4"/>
    <mergeCell ref="A4:A5"/>
    <mergeCell ref="B4:B5"/>
    <mergeCell ref="C4:C5"/>
    <mergeCell ref="D4:D5"/>
    <mergeCell ref="E4:G4"/>
    <mergeCell ref="A3:I3"/>
    <mergeCell ref="I14:I17"/>
    <mergeCell ref="A22:C22"/>
    <mergeCell ref="H6:H7"/>
    <mergeCell ref="I6:I7"/>
    <mergeCell ref="F10:F13"/>
    <mergeCell ref="G10:G13"/>
    <mergeCell ref="H10:H13"/>
    <mergeCell ref="I10:I13"/>
  </mergeCells>
  <pageMargins left="0.7" right="0.7" top="0.75" bottom="0.75" header="0.3" footer="0.3"/>
  <pageSetup orientation="landscape"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1A40-5C30-451B-9CE4-637001655899}">
  <sheetPr>
    <tabColor theme="7" tint="0.79998168889431442"/>
  </sheetPr>
  <dimension ref="B1:H47"/>
  <sheetViews>
    <sheetView showGridLines="0" zoomScaleNormal="100" workbookViewId="0">
      <selection activeCell="C49" sqref="C49"/>
    </sheetView>
  </sheetViews>
  <sheetFormatPr defaultColWidth="8.6640625" defaultRowHeight="15" outlineLevelRow="1" outlineLevelCol="1" x14ac:dyDescent="0.35"/>
  <cols>
    <col min="1" max="1" width="4.6640625" style="17" customWidth="1"/>
    <col min="2" max="2" width="7.33203125" style="17" hidden="1" customWidth="1" outlineLevel="1"/>
    <col min="3" max="3" width="67.44140625" style="17" customWidth="1" collapsed="1"/>
    <col min="4" max="4" width="10.6640625" style="46" bestFit="1" customWidth="1"/>
    <col min="5" max="5" width="4.6640625" style="17" customWidth="1"/>
    <col min="6" max="16384" width="8.6640625" style="17"/>
  </cols>
  <sheetData>
    <row r="1" spans="3:8" ht="16.2" x14ac:dyDescent="0.35">
      <c r="C1" s="727" t="s">
        <v>856</v>
      </c>
      <c r="D1" s="727"/>
      <c r="H1" s="85"/>
    </row>
    <row r="2" spans="3:8" ht="15.6" thickBot="1" x14ac:dyDescent="0.4">
      <c r="C2" s="763" t="s">
        <v>369</v>
      </c>
      <c r="D2" s="763"/>
    </row>
    <row r="3" spans="3:8" x14ac:dyDescent="0.35">
      <c r="C3" s="493" t="s">
        <v>805</v>
      </c>
      <c r="D3" s="494" t="s">
        <v>377</v>
      </c>
    </row>
    <row r="4" spans="3:8" x14ac:dyDescent="0.35">
      <c r="C4" s="495" t="s">
        <v>832</v>
      </c>
      <c r="D4" s="496" t="e">
        <f>SUM(D5:D6)</f>
        <v>#REF!</v>
      </c>
    </row>
    <row r="5" spans="3:8" hidden="1" outlineLevel="1" x14ac:dyDescent="0.35">
      <c r="C5" s="497" t="s">
        <v>830</v>
      </c>
      <c r="D5" s="498" t="e">
        <f>#REF!</f>
        <v>#REF!</v>
      </c>
    </row>
    <row r="6" spans="3:8" hidden="1" outlineLevel="1" x14ac:dyDescent="0.35">
      <c r="C6" s="499" t="s">
        <v>831</v>
      </c>
      <c r="D6" s="500" t="e">
        <f>#REF!</f>
        <v>#REF!</v>
      </c>
    </row>
    <row r="7" spans="3:8" collapsed="1" x14ac:dyDescent="0.35">
      <c r="C7" s="495" t="s">
        <v>833</v>
      </c>
      <c r="D7" s="496" t="e">
        <f>SUM(D8:D11)</f>
        <v>#REF!</v>
      </c>
    </row>
    <row r="8" spans="3:8" hidden="1" outlineLevel="1" x14ac:dyDescent="0.35">
      <c r="C8" s="497" t="s">
        <v>829</v>
      </c>
      <c r="D8" s="498" t="e">
        <f>#REF!</f>
        <v>#REF!</v>
      </c>
    </row>
    <row r="9" spans="3:8" hidden="1" outlineLevel="1" x14ac:dyDescent="0.35">
      <c r="C9" s="497" t="s">
        <v>818</v>
      </c>
      <c r="D9" s="498" t="e">
        <f>#REF!</f>
        <v>#REF!</v>
      </c>
    </row>
    <row r="10" spans="3:8" hidden="1" outlineLevel="1" x14ac:dyDescent="0.35">
      <c r="C10" s="497" t="s">
        <v>819</v>
      </c>
      <c r="D10" s="498" t="e">
        <f>#REF!</f>
        <v>#REF!</v>
      </c>
    </row>
    <row r="11" spans="3:8" hidden="1" outlineLevel="1" x14ac:dyDescent="0.35">
      <c r="C11" s="499" t="s">
        <v>820</v>
      </c>
      <c r="D11" s="501" t="e">
        <f>#REF!</f>
        <v>#REF!</v>
      </c>
    </row>
    <row r="12" spans="3:8" collapsed="1" x14ac:dyDescent="0.35">
      <c r="C12" s="502" t="s">
        <v>828</v>
      </c>
      <c r="D12" s="503" t="e">
        <f>#REF!</f>
        <v>#REF!</v>
      </c>
    </row>
    <row r="13" spans="3:8" x14ac:dyDescent="0.35">
      <c r="C13" s="495" t="s">
        <v>821</v>
      </c>
      <c r="D13" s="504" t="e">
        <f>SUM(D14:D15)</f>
        <v>#REF!</v>
      </c>
    </row>
    <row r="14" spans="3:8" hidden="1" outlineLevel="1" x14ac:dyDescent="0.35">
      <c r="C14" s="497" t="s">
        <v>822</v>
      </c>
      <c r="D14" s="498" t="e">
        <f>#REF!</f>
        <v>#REF!</v>
      </c>
    </row>
    <row r="15" spans="3:8" hidden="1" outlineLevel="1" x14ac:dyDescent="0.35">
      <c r="C15" s="499" t="s">
        <v>823</v>
      </c>
      <c r="D15" s="500" t="e">
        <f>#REF!</f>
        <v>#REF!</v>
      </c>
    </row>
    <row r="16" spans="3:8" collapsed="1" x14ac:dyDescent="0.35">
      <c r="C16" s="502" t="s">
        <v>824</v>
      </c>
      <c r="D16" s="503" t="e">
        <f>#REF!</f>
        <v>#REF!</v>
      </c>
    </row>
    <row r="17" spans="3:4" x14ac:dyDescent="0.35">
      <c r="C17" s="495" t="s">
        <v>825</v>
      </c>
      <c r="D17" s="496" t="e">
        <f>D18</f>
        <v>#REF!</v>
      </c>
    </row>
    <row r="18" spans="3:4" hidden="1" outlineLevel="1" x14ac:dyDescent="0.35">
      <c r="C18" s="497" t="s">
        <v>826</v>
      </c>
      <c r="D18" s="764" t="e">
        <f>#REF!</f>
        <v>#REF!</v>
      </c>
    </row>
    <row r="19" spans="3:4" hidden="1" outlineLevel="1" x14ac:dyDescent="0.35">
      <c r="C19" s="499" t="s">
        <v>827</v>
      </c>
      <c r="D19" s="765"/>
    </row>
    <row r="20" spans="3:4" collapsed="1" x14ac:dyDescent="0.35">
      <c r="C20" s="495" t="s">
        <v>834</v>
      </c>
      <c r="D20" s="496" t="e">
        <f>SUM(D21:D24)</f>
        <v>#REF!</v>
      </c>
    </row>
    <row r="21" spans="3:4" hidden="1" outlineLevel="1" x14ac:dyDescent="0.35">
      <c r="C21" s="497" t="s">
        <v>835</v>
      </c>
      <c r="D21" s="498" t="e">
        <f>#REF!</f>
        <v>#REF!</v>
      </c>
    </row>
    <row r="22" spans="3:4" hidden="1" outlineLevel="1" x14ac:dyDescent="0.35">
      <c r="C22" s="497" t="s">
        <v>836</v>
      </c>
      <c r="D22" s="498" t="e">
        <f>#REF!</f>
        <v>#REF!</v>
      </c>
    </row>
    <row r="23" spans="3:4" hidden="1" outlineLevel="1" x14ac:dyDescent="0.35">
      <c r="C23" s="497" t="s">
        <v>838</v>
      </c>
      <c r="D23" s="498" t="e">
        <f>#REF!</f>
        <v>#REF!</v>
      </c>
    </row>
    <row r="24" spans="3:4" hidden="1" outlineLevel="1" x14ac:dyDescent="0.35">
      <c r="C24" s="505" t="s">
        <v>837</v>
      </c>
      <c r="D24" s="501" t="e">
        <f>#REF!</f>
        <v>#REF!</v>
      </c>
    </row>
    <row r="25" spans="3:4" collapsed="1" x14ac:dyDescent="0.35">
      <c r="C25" s="495" t="s">
        <v>839</v>
      </c>
      <c r="D25" s="496" t="e">
        <f>SUM(D26:D34)</f>
        <v>#REF!</v>
      </c>
    </row>
    <row r="26" spans="3:4" hidden="1" outlineLevel="1" x14ac:dyDescent="0.35">
      <c r="C26" s="497" t="s">
        <v>840</v>
      </c>
      <c r="D26" s="498" t="e">
        <f>#REF!</f>
        <v>#REF!</v>
      </c>
    </row>
    <row r="27" spans="3:4" hidden="1" outlineLevel="1" x14ac:dyDescent="0.35">
      <c r="C27" s="497" t="s">
        <v>841</v>
      </c>
      <c r="D27" s="498" t="e">
        <f>#REF!</f>
        <v>#REF!</v>
      </c>
    </row>
    <row r="28" spans="3:4" hidden="1" outlineLevel="1" x14ac:dyDescent="0.35">
      <c r="C28" s="497" t="s">
        <v>842</v>
      </c>
      <c r="D28" s="498" t="e">
        <f>#REF!</f>
        <v>#REF!</v>
      </c>
    </row>
    <row r="29" spans="3:4" hidden="1" outlineLevel="1" x14ac:dyDescent="0.35">
      <c r="C29" s="497" t="s">
        <v>844</v>
      </c>
      <c r="D29" s="498" t="e">
        <f>#REF!</f>
        <v>#REF!</v>
      </c>
    </row>
    <row r="30" spans="3:4" hidden="1" outlineLevel="1" x14ac:dyDescent="0.35">
      <c r="C30" s="497" t="s">
        <v>843</v>
      </c>
      <c r="D30" s="498" t="e">
        <f>#REF!</f>
        <v>#REF!</v>
      </c>
    </row>
    <row r="31" spans="3:4" hidden="1" outlineLevel="1" x14ac:dyDescent="0.35">
      <c r="C31" s="497" t="s">
        <v>903</v>
      </c>
      <c r="D31" s="498" t="e">
        <f>#REF!</f>
        <v>#REF!</v>
      </c>
    </row>
    <row r="32" spans="3:4" hidden="1" outlineLevel="1" x14ac:dyDescent="0.35">
      <c r="C32" s="497" t="s">
        <v>898</v>
      </c>
      <c r="D32" s="498" t="e">
        <f>#REF!</f>
        <v>#REF!</v>
      </c>
    </row>
    <row r="33" spans="3:4" hidden="1" outlineLevel="1" x14ac:dyDescent="0.35">
      <c r="C33" s="497" t="s">
        <v>845</v>
      </c>
      <c r="D33" s="498" t="e">
        <f>#REF!</f>
        <v>#REF!</v>
      </c>
    </row>
    <row r="34" spans="3:4" hidden="1" outlineLevel="1" x14ac:dyDescent="0.35">
      <c r="C34" s="497" t="s">
        <v>846</v>
      </c>
      <c r="D34" s="498" t="e">
        <f>#REF!</f>
        <v>#REF!</v>
      </c>
    </row>
    <row r="35" spans="3:4" collapsed="1" x14ac:dyDescent="0.35">
      <c r="C35" s="502" t="s">
        <v>847</v>
      </c>
      <c r="D35" s="503" t="e">
        <f>#REF!</f>
        <v>#REF!</v>
      </c>
    </row>
    <row r="36" spans="3:4" x14ac:dyDescent="0.35">
      <c r="C36" s="495" t="s">
        <v>848</v>
      </c>
      <c r="D36" s="496" t="e">
        <f>SUM(D37:D40)</f>
        <v>#REF!</v>
      </c>
    </row>
    <row r="37" spans="3:4" hidden="1" outlineLevel="1" x14ac:dyDescent="0.35">
      <c r="C37" s="497" t="s">
        <v>849</v>
      </c>
      <c r="D37" s="498" t="e">
        <f>#REF!</f>
        <v>#REF!</v>
      </c>
    </row>
    <row r="38" spans="3:4" hidden="1" outlineLevel="1" x14ac:dyDescent="0.35">
      <c r="C38" s="497" t="s">
        <v>850</v>
      </c>
      <c r="D38" s="498" t="e">
        <f>#REF!</f>
        <v>#REF!</v>
      </c>
    </row>
    <row r="39" spans="3:4" hidden="1" outlineLevel="1" x14ac:dyDescent="0.35">
      <c r="C39" s="497" t="s">
        <v>851</v>
      </c>
      <c r="D39" s="498" t="e">
        <f>#REF!</f>
        <v>#REF!</v>
      </c>
    </row>
    <row r="40" spans="3:4" hidden="1" outlineLevel="1" x14ac:dyDescent="0.35">
      <c r="C40" s="505" t="s">
        <v>852</v>
      </c>
      <c r="D40" s="501" t="e">
        <f>#REF!</f>
        <v>#REF!</v>
      </c>
    </row>
    <row r="41" spans="3:4" collapsed="1" x14ac:dyDescent="0.35">
      <c r="C41" s="506" t="s">
        <v>853</v>
      </c>
      <c r="D41" s="507" t="e">
        <f>#REF!</f>
        <v>#REF!</v>
      </c>
    </row>
    <row r="42" spans="3:4" ht="16.8" thickBot="1" x14ac:dyDescent="0.4">
      <c r="C42" s="508" t="s">
        <v>857</v>
      </c>
      <c r="D42" s="509" t="e">
        <f>SUM(D4,D7,D12,D13,D16,D17,D20,D25,D35,D36,D41)</f>
        <v>#REF!</v>
      </c>
    </row>
    <row r="43" spans="3:4" ht="16.2" x14ac:dyDescent="0.35">
      <c r="C43" s="766" t="s">
        <v>854</v>
      </c>
      <c r="D43" s="766"/>
    </row>
    <row r="44" spans="3:4" x14ac:dyDescent="0.35">
      <c r="C44" s="767" t="s">
        <v>858</v>
      </c>
      <c r="D44" s="767"/>
    </row>
    <row r="45" spans="3:4" ht="31.95" customHeight="1" x14ac:dyDescent="0.35">
      <c r="C45" s="767" t="s">
        <v>855</v>
      </c>
      <c r="D45" s="767"/>
    </row>
    <row r="47" spans="3:4" x14ac:dyDescent="0.35">
      <c r="D47" s="510"/>
    </row>
  </sheetData>
  <mergeCells count="6">
    <mergeCell ref="C1:D1"/>
    <mergeCell ref="C2:D2"/>
    <mergeCell ref="D18:D19"/>
    <mergeCell ref="C43:D43"/>
    <mergeCell ref="C45:D45"/>
    <mergeCell ref="C44:D44"/>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7F53-4B2E-474A-859A-DEB1D3D9DCF2}">
  <sheetPr>
    <tabColor theme="7" tint="0.79998168889431442"/>
  </sheetPr>
  <dimension ref="A1:R183"/>
  <sheetViews>
    <sheetView showGridLines="0" zoomScale="130" zoomScaleNormal="130" workbookViewId="0">
      <pane xSplit="4" ySplit="5" topLeftCell="E6" activePane="bottomRight" state="frozen"/>
      <selection pane="topRight" activeCell="E1" sqref="E1"/>
      <selection pane="bottomLeft" activeCell="A5" sqref="A5"/>
      <selection pane="bottomRight" activeCell="I23" sqref="I23"/>
    </sheetView>
  </sheetViews>
  <sheetFormatPr defaultColWidth="9.33203125" defaultRowHeight="15" outlineLevelCol="1" x14ac:dyDescent="0.35"/>
  <cols>
    <col min="1" max="1" width="9.33203125" style="17" hidden="1" customWidth="1" outlineLevel="1"/>
    <col min="2" max="2" width="11.6640625" style="17" hidden="1" customWidth="1" outlineLevel="1"/>
    <col min="3" max="3" width="16.6640625" style="17" customWidth="1" collapsed="1"/>
    <col min="4" max="4" width="40.33203125" style="17" customWidth="1"/>
    <col min="5" max="5" width="11.33203125" style="283" customWidth="1" outlineLevel="1"/>
    <col min="6" max="6" width="11.33203125" style="46" customWidth="1"/>
    <col min="7" max="7" width="10" style="46" hidden="1" customWidth="1" outlineLevel="1"/>
    <col min="8" max="8" width="11.33203125" style="46" customWidth="1" collapsed="1"/>
    <col min="9" max="10" width="12.6640625" style="284" customWidth="1"/>
    <col min="11" max="14" width="11.33203125" style="284" customWidth="1"/>
    <col min="15" max="15" width="19" style="284" hidden="1" customWidth="1"/>
    <col min="16" max="16" width="19" style="284" hidden="1" customWidth="1" outlineLevel="1"/>
    <col min="17" max="17" width="19" style="17" hidden="1" customWidth="1" outlineLevel="1"/>
    <col min="18" max="18" width="127.6640625" style="17" bestFit="1" customWidth="1" collapsed="1"/>
    <col min="19" max="16384" width="9.33203125" style="17"/>
  </cols>
  <sheetData>
    <row r="1" spans="1:18" x14ac:dyDescent="0.35">
      <c r="C1" s="727" t="s">
        <v>666</v>
      </c>
      <c r="D1" s="727"/>
      <c r="E1" s="727"/>
      <c r="F1" s="727"/>
      <c r="G1" s="727"/>
      <c r="H1" s="727"/>
      <c r="I1" s="727"/>
      <c r="J1" s="727"/>
      <c r="K1" s="727"/>
      <c r="L1" s="727"/>
      <c r="M1" s="727"/>
      <c r="N1" s="727"/>
      <c r="O1" s="727"/>
      <c r="P1" s="727"/>
      <c r="Q1" s="727"/>
      <c r="R1" s="727"/>
    </row>
    <row r="2" spans="1:18" ht="15.6" thickBot="1" x14ac:dyDescent="0.4">
      <c r="C2" s="762" t="s">
        <v>369</v>
      </c>
      <c r="D2" s="762"/>
      <c r="E2" s="762"/>
      <c r="F2" s="762"/>
      <c r="G2" s="762"/>
      <c r="H2" s="762"/>
      <c r="I2" s="762"/>
      <c r="J2" s="762"/>
      <c r="K2" s="762"/>
      <c r="L2" s="762"/>
      <c r="M2" s="762"/>
      <c r="N2" s="762"/>
      <c r="O2" s="762"/>
      <c r="P2" s="762"/>
      <c r="Q2" s="762"/>
      <c r="R2" s="762"/>
    </row>
    <row r="3" spans="1:18" ht="15.6" customHeight="1" x14ac:dyDescent="0.35">
      <c r="C3" s="299"/>
      <c r="D3" s="313"/>
      <c r="E3" s="782" t="s">
        <v>522</v>
      </c>
      <c r="F3" s="785" t="s">
        <v>25</v>
      </c>
      <c r="G3" s="771" t="s">
        <v>658</v>
      </c>
      <c r="H3" s="771" t="s">
        <v>537</v>
      </c>
      <c r="I3" s="771" t="s">
        <v>568</v>
      </c>
      <c r="J3" s="768" t="s">
        <v>660</v>
      </c>
      <c r="K3" s="788" t="s">
        <v>681</v>
      </c>
      <c r="L3" s="789"/>
      <c r="M3" s="789"/>
      <c r="N3" s="790"/>
      <c r="O3" s="771" t="s">
        <v>661</v>
      </c>
      <c r="P3" s="779" t="s">
        <v>620</v>
      </c>
      <c r="Q3" s="779" t="s">
        <v>579</v>
      </c>
      <c r="R3" s="774" t="s">
        <v>665</v>
      </c>
    </row>
    <row r="4" spans="1:18" x14ac:dyDescent="0.35">
      <c r="D4" s="314"/>
      <c r="E4" s="783"/>
      <c r="F4" s="786"/>
      <c r="G4" s="772"/>
      <c r="H4" s="772"/>
      <c r="I4" s="772"/>
      <c r="J4" s="769"/>
      <c r="K4" s="777" t="s">
        <v>372</v>
      </c>
      <c r="L4" s="778"/>
      <c r="M4" s="791" t="s">
        <v>523</v>
      </c>
      <c r="N4" s="792"/>
      <c r="O4" s="772"/>
      <c r="P4" s="780"/>
      <c r="Q4" s="780"/>
      <c r="R4" s="775"/>
    </row>
    <row r="5" spans="1:18" x14ac:dyDescent="0.35">
      <c r="A5" s="17" t="s">
        <v>624</v>
      </c>
      <c r="B5" s="17" t="s">
        <v>623</v>
      </c>
      <c r="C5" s="73" t="s">
        <v>430</v>
      </c>
      <c r="D5" s="315" t="s">
        <v>615</v>
      </c>
      <c r="E5" s="784"/>
      <c r="F5" s="787"/>
      <c r="G5" s="773"/>
      <c r="H5" s="773"/>
      <c r="I5" s="773"/>
      <c r="J5" s="770"/>
      <c r="K5" s="323" t="s">
        <v>377</v>
      </c>
      <c r="L5" s="327" t="s">
        <v>378</v>
      </c>
      <c r="M5" s="342" t="s">
        <v>377</v>
      </c>
      <c r="N5" s="343" t="s">
        <v>378</v>
      </c>
      <c r="O5" s="773"/>
      <c r="P5" s="781"/>
      <c r="Q5" s="781"/>
      <c r="R5" s="776"/>
    </row>
    <row r="6" spans="1:18" x14ac:dyDescent="0.35">
      <c r="A6" s="17" t="s">
        <v>339</v>
      </c>
      <c r="B6" s="17" t="s">
        <v>331</v>
      </c>
      <c r="C6" s="17" t="s">
        <v>527</v>
      </c>
      <c r="D6" s="314" t="s">
        <v>541</v>
      </c>
      <c r="E6" s="285">
        <f>INDEX('2022 CONG 2022 Actual'!$F$9:$CD$300, MATCH('Other Cong. Direction'!A6, '2022 CONG 2022 Actual'!$A$9:$A$300, 0), MATCH('Other Cong. Direction'!B6, '2022 CONG 2022 Actual'!$F$4:$CD$4, 0))</f>
        <v>413.08151900000001</v>
      </c>
      <c r="F6" s="301">
        <f>IFERROR(INDEX('2022 CONG 2022 CP'!$F$8:$CG$300, MATCH('Other Cong. Direction'!A6, '2022 CONG 2022 CP'!$A$8:$A$300, 0), MATCH('Other Cong. Direction'!B6, '2022 CONG 2022 CP'!$F$3:$CG$3, 0)), 0)</f>
        <v>450</v>
      </c>
      <c r="G6" s="286">
        <f>IFERROR(INDEX('2024 OMB 2023 Req.'!$F$8:$CG$300, MATCH('Other Cong. Direction'!A6, '2024 OMB 2023 Req.'!$A$8:$A$300, 0), MATCH('Other Cong. Direction'!B6, '2024 OMB 2023 Req.'!$F$3:$CG$3, 0)), 0)</f>
        <v>879.87</v>
      </c>
      <c r="H6" s="287" t="s">
        <v>638</v>
      </c>
      <c r="I6" s="286" t="s">
        <v>638</v>
      </c>
      <c r="J6" s="318" t="s">
        <v>638</v>
      </c>
      <c r="K6" s="324">
        <f>IFERROR(IF($J6-$F6&gt;0, $J6-$F6, 0), 0)</f>
        <v>0</v>
      </c>
      <c r="L6" s="328">
        <f>IFERROR(K6/F6, "N/A")</f>
        <v>0</v>
      </c>
      <c r="M6" s="346">
        <f>IFERROR(IF($J6-$E6&gt;0, $J6-$E6, 0), 0)</f>
        <v>0</v>
      </c>
      <c r="N6" s="344">
        <f>IFERROR(M6/E6, "N/A")</f>
        <v>0</v>
      </c>
      <c r="O6" s="286" t="s">
        <v>662</v>
      </c>
      <c r="P6" s="288"/>
      <c r="Q6" s="17" t="s">
        <v>581</v>
      </c>
      <c r="R6" s="303" t="str">
        <f>Q6</f>
        <v>"supports the Directorate…"</v>
      </c>
    </row>
    <row r="7" spans="1:18" x14ac:dyDescent="0.35">
      <c r="A7" s="17" t="s">
        <v>536</v>
      </c>
      <c r="B7" s="17" t="s">
        <v>331</v>
      </c>
      <c r="C7" s="17" t="s">
        <v>527</v>
      </c>
      <c r="D7" s="363" t="s">
        <v>539</v>
      </c>
      <c r="E7" s="285">
        <f>INDEX('2022 CONG 2022 Actual'!$F$9:$CD$300, MATCH('Other Cong. Direction'!A7, '2022 CONG 2022 Actual'!$A$9:$A$300, 0), MATCH('Other Cong. Direction'!B7, '2022 CONG 2022 Actual'!$F$4:$CD$4, 0))</f>
        <v>0.71250899999999995</v>
      </c>
      <c r="F7" s="301">
        <f>IFERROR(INDEX('2022 CONG 2022 CP'!$F$8:$CG$300, MATCH('Other Cong. Direction'!A7, '2022 CONG 2022 CP'!$A$8:$A$300, 0), MATCH('Other Cong. Direction'!B7, '2022 CONG 2022 CP'!$F$3:$CG$3, 0)), 0)</f>
        <v>25</v>
      </c>
      <c r="G7" s="286">
        <f>IFERROR(INDEX('2024 OMB 2023 Req.'!$F$8:$CG$300, MATCH('Other Cong. Direction'!A7, '2024 OMB 2023 Req.'!$A$8:$A$300, 0), MATCH('Other Cong. Direction'!B7, '2024 OMB 2023 Req.'!$F$3:$CG$3, 0)), 0)</f>
        <v>200</v>
      </c>
      <c r="H7" s="287">
        <v>170</v>
      </c>
      <c r="I7" s="289" t="s">
        <v>635</v>
      </c>
      <c r="J7" s="319">
        <v>170</v>
      </c>
      <c r="K7" s="324">
        <f>IFERROR(IF(J7-F7&gt;0, J7-F7, 0), 0)</f>
        <v>145</v>
      </c>
      <c r="L7" s="328">
        <f>IFERROR(K7/F7, "N/A")</f>
        <v>5.8</v>
      </c>
      <c r="M7" s="346">
        <f>IFERROR(IF($J7-$E7&gt;0, $J7-$E7, 0), 0)</f>
        <v>169.28749099999999</v>
      </c>
      <c r="N7" s="344">
        <f t="shared" ref="N7:N53" si="0">IFERROR(M7/E7, "N/A")</f>
        <v>237.59347741572387</v>
      </c>
      <c r="O7" s="289" t="s">
        <v>663</v>
      </c>
      <c r="P7" s="290" t="s">
        <v>571</v>
      </c>
      <c r="Q7" s="17" t="s">
        <v>580</v>
      </c>
      <c r="R7" s="303" t="str">
        <f>P7</f>
        <v>No less than</v>
      </c>
    </row>
    <row r="8" spans="1:18" x14ac:dyDescent="0.35">
      <c r="C8" s="17" t="s">
        <v>527</v>
      </c>
      <c r="D8" s="314" t="s">
        <v>538</v>
      </c>
      <c r="E8" s="285">
        <f>SUM(E9:E10)</f>
        <v>1199.713</v>
      </c>
      <c r="F8" s="302">
        <f>SUM(F9:F10)</f>
        <v>979.98</v>
      </c>
      <c r="G8" s="287">
        <f>SUM(G9:G10)</f>
        <v>1554.55</v>
      </c>
      <c r="H8" s="287">
        <v>1050</v>
      </c>
      <c r="I8" s="289">
        <v>970</v>
      </c>
      <c r="J8" s="319">
        <f>I8</f>
        <v>970</v>
      </c>
      <c r="K8" s="324">
        <f>IFERROR(IF(J8-F8&gt;0, J8-F8, 0), 0)</f>
        <v>0</v>
      </c>
      <c r="L8" s="328">
        <f t="shared" ref="L8:L53" si="1">IFERROR(K8/F8, "N/A")</f>
        <v>0</v>
      </c>
      <c r="M8" s="346">
        <f t="shared" ref="M8:M53" si="2">IFERROR(IF($J8-$E8&gt;0, $J8-$E8, 0), 0)</f>
        <v>0</v>
      </c>
      <c r="N8" s="344">
        <f t="shared" si="0"/>
        <v>0</v>
      </c>
      <c r="O8" s="289" t="s">
        <v>662</v>
      </c>
      <c r="P8" s="291"/>
      <c r="Q8" s="17" t="s">
        <v>583</v>
      </c>
      <c r="R8" s="303" t="str">
        <f>Q8</f>
        <v>Not less than (combined USGCRP/CET)</v>
      </c>
    </row>
    <row r="9" spans="1:18" x14ac:dyDescent="0.35">
      <c r="A9" s="17" t="s">
        <v>519</v>
      </c>
      <c r="B9" s="17" t="s">
        <v>333</v>
      </c>
      <c r="C9" s="17" t="s">
        <v>527</v>
      </c>
      <c r="D9" s="316" t="s">
        <v>524</v>
      </c>
      <c r="E9" s="292">
        <f>INDEX('2022 CONG 2022 Actual'!$F$9:$CD$300, MATCH('Other Cong. Direction'!A9, '2022 CONG 2022 Actual'!$A$9:$A$300, 0), MATCH('Other Cong. Direction'!B9, '2022 CONG 2022 Actual'!$F$4:$CD$4, 0))</f>
        <v>780.96299999999997</v>
      </c>
      <c r="F9" s="301">
        <f>IFERROR(INDEX('2022 CONG 2022 CP'!$F$8:$CG$300, MATCH('Other Cong. Direction'!A9, '2022 CONG 2022 CP'!$A$8:$A$300, 0), MATCH('Other Cong. Direction'!B9, '2022 CONG 2022 CP'!$F$3:$CG$3, 0)), 0)</f>
        <v>595.92999999999995</v>
      </c>
      <c r="G9" s="286">
        <f>IFERROR(INDEX('2024 OMB 2023 Req.'!$F$8:$CG$300, MATCH('Other Cong. Direction'!A9, '2024 OMB 2023 Req.'!$A$8:$A$300, 0), MATCH('Other Cong. Direction'!B9, '2024 OMB 2023 Req.'!$F$3:$CG$3, 0)), 0)</f>
        <v>1054.55</v>
      </c>
      <c r="H9" s="293" t="s">
        <v>638</v>
      </c>
      <c r="I9" s="293" t="s">
        <v>638</v>
      </c>
      <c r="J9" s="320" t="s">
        <v>638</v>
      </c>
      <c r="K9" s="324">
        <f t="shared" ref="K9:K53" si="3">IFERROR(IF(J9-F9&gt;0, J9-F9, 0), 0)</f>
        <v>0</v>
      </c>
      <c r="L9" s="328">
        <f t="shared" si="1"/>
        <v>0</v>
      </c>
      <c r="M9" s="346">
        <f t="shared" si="2"/>
        <v>0</v>
      </c>
      <c r="N9" s="344">
        <f t="shared" si="0"/>
        <v>0</v>
      </c>
      <c r="O9" s="300"/>
      <c r="P9" s="294"/>
      <c r="R9" s="303"/>
    </row>
    <row r="10" spans="1:18" x14ac:dyDescent="0.35">
      <c r="A10" s="17" t="s">
        <v>518</v>
      </c>
      <c r="B10" s="17" t="s">
        <v>333</v>
      </c>
      <c r="C10" s="17" t="s">
        <v>527</v>
      </c>
      <c r="D10" s="316" t="s">
        <v>582</v>
      </c>
      <c r="E10" s="292">
        <f>INDEX('2022 CONG 2022 Actual'!$F$9:$CD$300, MATCH('Other Cong. Direction'!A10, '2022 CONG 2022 Actual'!$A$9:$A$300, 0), MATCH('Other Cong. Direction'!B10, '2022 CONG 2022 Actual'!$F$4:$CD$4, 0))</f>
        <v>418.75</v>
      </c>
      <c r="F10" s="301">
        <f>IFERROR(INDEX('2022 CONG 2022 CP'!$F$8:$CG$300, MATCH('Other Cong. Direction'!A10, '2022 CONG 2022 CP'!$A$8:$A$300, 0), MATCH('Other Cong. Direction'!B10, '2022 CONG 2022 CP'!$F$3:$CG$3, 0)), 0)</f>
        <v>384.05</v>
      </c>
      <c r="G10" s="286">
        <f>IFERROR(INDEX('2024 OMB 2023 Req.'!$F$8:$CG$300, MATCH('Other Cong. Direction'!A10, '2024 OMB 2023 Req.'!$A$8:$A$300, 0), MATCH('Other Cong. Direction'!B10, '2024 OMB 2023 Req.'!$F$3:$CG$3, 0)), 0)</f>
        <v>500</v>
      </c>
      <c r="H10" s="293" t="s">
        <v>638</v>
      </c>
      <c r="I10" s="293" t="s">
        <v>638</v>
      </c>
      <c r="J10" s="320" t="s">
        <v>638</v>
      </c>
      <c r="K10" s="324">
        <f t="shared" si="3"/>
        <v>0</v>
      </c>
      <c r="L10" s="328">
        <f t="shared" si="1"/>
        <v>0</v>
      </c>
      <c r="M10" s="346">
        <f t="shared" si="2"/>
        <v>0</v>
      </c>
      <c r="N10" s="344">
        <f t="shared" si="0"/>
        <v>0</v>
      </c>
      <c r="O10" s="300"/>
      <c r="P10" s="294"/>
      <c r="R10" s="303"/>
    </row>
    <row r="11" spans="1:18" x14ac:dyDescent="0.35">
      <c r="A11" s="17" t="s">
        <v>530</v>
      </c>
      <c r="B11" s="17" t="s">
        <v>333</v>
      </c>
      <c r="C11" s="17" t="s">
        <v>527</v>
      </c>
      <c r="D11" s="363" t="s">
        <v>531</v>
      </c>
      <c r="E11" s="285">
        <f>INDEX('2022 CONG 2022 Actual'!$F$9:$CD$300, MATCH('Other Cong. Direction'!A11, '2022 CONG 2022 Actual'!$A$9:$A$300, 0), MATCH('Other Cong. Direction'!B11, '2022 CONG 2022 Actual'!$F$4:$CD$4, 0))</f>
        <v>781.79100000000005</v>
      </c>
      <c r="F11" s="407">
        <f>IFERROR(INDEX('2022 CONG 2022 CP'!$F$8:$CG$300, MATCH('Other Cong. Direction'!A11, '2022 CONG 2022 CP'!$A$8:$A$300, 0), MATCH('Other Cong. Direction'!B11, '2022 CONG 2022 CP'!$F$3:$CG$3, 0)), 0)</f>
        <v>679.23</v>
      </c>
      <c r="G11" s="286">
        <f>IFERROR(INDEX('2024 OMB 2023 Req.'!$F$8:$CG$300, MATCH('Other Cong. Direction'!A11, '2024 OMB 2023 Req.'!$A$8:$A$300, 0), MATCH('Other Cong. Direction'!B11, '2024 OMB 2023 Req.'!$F$3:$CG$3, 0)), 0)</f>
        <v>734.41</v>
      </c>
      <c r="H11" s="287">
        <v>686</v>
      </c>
      <c r="I11" s="289">
        <v>686</v>
      </c>
      <c r="J11" s="319">
        <f t="shared" ref="J11:J16" si="4">I11</f>
        <v>686</v>
      </c>
      <c r="K11" s="324">
        <f t="shared" si="3"/>
        <v>6.7699999999999818</v>
      </c>
      <c r="L11" s="328">
        <f t="shared" si="1"/>
        <v>9.9671687057402963E-3</v>
      </c>
      <c r="M11" s="346">
        <f t="shared" si="2"/>
        <v>0</v>
      </c>
      <c r="N11" s="344">
        <f t="shared" si="0"/>
        <v>0</v>
      </c>
      <c r="O11" s="289" t="s">
        <v>662</v>
      </c>
      <c r="P11" s="291" t="s">
        <v>570</v>
      </c>
      <c r="Q11" s="17" t="s">
        <v>570</v>
      </c>
      <c r="R11" s="303" t="str">
        <f t="shared" ref="R11:R12" si="5">Q11</f>
        <v>Up to</v>
      </c>
    </row>
    <row r="12" spans="1:18" x14ac:dyDescent="0.35">
      <c r="C12" s="17" t="s">
        <v>527</v>
      </c>
      <c r="D12" s="363" t="s">
        <v>545</v>
      </c>
      <c r="E12" s="285">
        <f>SUM(E13:E14)</f>
        <v>347.78699999999998</v>
      </c>
      <c r="F12" s="301">
        <f>SUM(F13:F14)</f>
        <v>252.47999999999996</v>
      </c>
      <c r="G12" s="287">
        <f>SUM(G13:G14)</f>
        <v>261</v>
      </c>
      <c r="H12" s="287">
        <v>240</v>
      </c>
      <c r="I12" s="289">
        <f>SUM(I13:I14)</f>
        <v>235</v>
      </c>
      <c r="J12" s="319">
        <f t="shared" si="4"/>
        <v>235</v>
      </c>
      <c r="K12" s="324">
        <f t="shared" si="3"/>
        <v>0</v>
      </c>
      <c r="L12" s="328">
        <f t="shared" si="1"/>
        <v>0</v>
      </c>
      <c r="M12" s="346">
        <f t="shared" si="2"/>
        <v>0</v>
      </c>
      <c r="N12" s="344">
        <f t="shared" si="0"/>
        <v>0</v>
      </c>
      <c r="O12" s="289" t="s">
        <v>662</v>
      </c>
      <c r="P12" s="291" t="s">
        <v>570</v>
      </c>
      <c r="Q12" s="17" t="s">
        <v>573</v>
      </c>
      <c r="R12" s="303" t="str">
        <f t="shared" si="5"/>
        <v>Exact Amount</v>
      </c>
    </row>
    <row r="13" spans="1:18" x14ac:dyDescent="0.35">
      <c r="A13" s="17" t="s">
        <v>532</v>
      </c>
      <c r="B13" s="17" t="s">
        <v>333</v>
      </c>
      <c r="C13" s="17" t="s">
        <v>527</v>
      </c>
      <c r="D13" s="316" t="s">
        <v>584</v>
      </c>
      <c r="E13" s="292">
        <f>INDEX('2022 CONG 2022 Actual'!$F$9:$CD$300, MATCH('Other Cong. Direction'!A13, '2022 CONG 2022 Actual'!$A$9:$A$300, 0), MATCH('Other Cong. Direction'!B13, '2022 CONG 2022 Actual'!$F$4:$CD$4, 0))-E14</f>
        <v>269.41699999999997</v>
      </c>
      <c r="F13" s="301">
        <f>IFERROR(INDEX('2022 CONG 2022 CP'!$F$8:$CG$300, MATCH('Other Cong. Direction'!A13, '2022 CONG 2022 CP'!$A$8:$A$300, 0), MATCH('Other Cong. Direction'!B13, '2022 CONG 2022 CP'!$F$3:$CG$3, 0)), 0)-F14</f>
        <v>202.27999999999997</v>
      </c>
      <c r="G13" s="286">
        <f>IFERROR(INDEX('2024 OMB 2023 Req.'!$F$8:$CG$300, MATCH('Other Cong. Direction'!A13, '2024 OMB 2023 Req.'!$A$8:$A$300, 0), MATCH('Other Cong. Direction'!B13, '2024 OMB 2023 Req.'!$F$3:$CG$3, 0)), 0)-G14</f>
        <v>207.45</v>
      </c>
      <c r="H13" s="295">
        <f>H12-H14</f>
        <v>190</v>
      </c>
      <c r="I13" s="293">
        <v>185</v>
      </c>
      <c r="J13" s="320">
        <f t="shared" si="4"/>
        <v>185</v>
      </c>
      <c r="K13" s="324">
        <f t="shared" si="3"/>
        <v>0</v>
      </c>
      <c r="L13" s="328">
        <f t="shared" si="1"/>
        <v>0</v>
      </c>
      <c r="M13" s="346">
        <f t="shared" si="2"/>
        <v>0</v>
      </c>
      <c r="N13" s="344">
        <f t="shared" si="0"/>
        <v>0</v>
      </c>
      <c r="O13" s="300"/>
      <c r="P13" s="294"/>
      <c r="Q13" s="1" t="s">
        <v>573</v>
      </c>
      <c r="R13" s="303"/>
    </row>
    <row r="14" spans="1:18" x14ac:dyDescent="0.35">
      <c r="A14" s="17" t="s">
        <v>625</v>
      </c>
      <c r="B14" s="17" t="s">
        <v>333</v>
      </c>
      <c r="C14" s="17" t="s">
        <v>527</v>
      </c>
      <c r="D14" s="316" t="s">
        <v>585</v>
      </c>
      <c r="E14" s="292">
        <f>INDEX('2022 CONG 2022 Actual'!$F$9:$CD$300, MATCH('Other Cong. Direction'!A14, '2022 CONG 2022 Actual'!$A$9:$A$300, 0), MATCH('Other Cong. Direction'!B14, '2022 CONG 2022 Actual'!$F$4:$CD$4, 0))</f>
        <v>78.37</v>
      </c>
      <c r="F14" s="301">
        <f>IFERROR(INDEX('2022 CONG 2022 CP'!$F$8:$CG$300, MATCH('Other Cong. Direction'!A14, '2022 CONG 2022 CP'!$A$8:$A$300, 0), MATCH('Other Cong. Direction'!B14, '2022 CONG 2022 CP'!$F$3:$CG$3, 0)), 0)</f>
        <v>50.2</v>
      </c>
      <c r="G14" s="286">
        <v>53.55</v>
      </c>
      <c r="H14" s="295">
        <v>50</v>
      </c>
      <c r="I14" s="293">
        <v>50</v>
      </c>
      <c r="J14" s="320">
        <f t="shared" si="4"/>
        <v>50</v>
      </c>
      <c r="K14" s="324">
        <f t="shared" si="3"/>
        <v>0</v>
      </c>
      <c r="L14" s="328">
        <f t="shared" si="1"/>
        <v>0</v>
      </c>
      <c r="M14" s="346">
        <f t="shared" si="2"/>
        <v>0</v>
      </c>
      <c r="N14" s="344">
        <f t="shared" si="0"/>
        <v>0</v>
      </c>
      <c r="O14" s="300"/>
      <c r="P14" s="294"/>
      <c r="Q14" s="1" t="s">
        <v>573</v>
      </c>
      <c r="R14" s="303"/>
    </row>
    <row r="15" spans="1:18" x14ac:dyDescent="0.35">
      <c r="A15" s="17" t="s">
        <v>626</v>
      </c>
      <c r="B15" s="17" t="s">
        <v>526</v>
      </c>
      <c r="C15" s="17" t="s">
        <v>527</v>
      </c>
      <c r="D15" s="314" t="s">
        <v>390</v>
      </c>
      <c r="E15" s="292">
        <f>INDEX('2022 CONG 2022 Actual'!$F$9:$CD$300, MATCH('Other Cong. Direction'!A15, '2022 CONG 2022 Actual'!$A$9:$A$300, 0), MATCH('Other Cong. Direction'!B15, '2022 CONG 2022 Actual'!$F$4:$CD$4, 0))</f>
        <v>18.521591000000001</v>
      </c>
      <c r="F15" s="301">
        <f>IFERROR(INDEX('2022 CONG 2022 CP'!$F$8:$CG$300, MATCH('Other Cong. Direction'!A15, '2022 CONG 2022 CP'!$A$8:$A$300, 0), MATCH('Other Cong. Direction'!B15, '2022 CONG 2022 CP'!$F$3:$CG$3, 0)), 0)</f>
        <v>22</v>
      </c>
      <c r="G15" s="286">
        <f>IFERROR(INDEX('2024 OMB 2023 Req.'!$F$8:$CG$300, MATCH('Other Cong. Direction'!A15, '2024 OMB 2023 Req.'!$A$8:$A$300, 0), MATCH('Other Cong. Direction'!B15, '2024 OMB 2023 Req.'!$F$3:$CG$3, 0)), 0)</f>
        <v>37.93</v>
      </c>
      <c r="H15" s="287">
        <v>26</v>
      </c>
      <c r="I15" s="289">
        <v>25</v>
      </c>
      <c r="J15" s="319">
        <f t="shared" si="4"/>
        <v>25</v>
      </c>
      <c r="K15" s="324">
        <f t="shared" si="3"/>
        <v>3</v>
      </c>
      <c r="L15" s="328">
        <f t="shared" si="1"/>
        <v>0.13636363636363635</v>
      </c>
      <c r="M15" s="346">
        <f>IFERROR(IF($J15-$E15&gt;0, $J15-$E15, 0), 0)</f>
        <v>6.4784089999999992</v>
      </c>
      <c r="N15" s="344">
        <f t="shared" si="0"/>
        <v>0.34977605325590005</v>
      </c>
      <c r="O15" s="289" t="s">
        <v>662</v>
      </c>
      <c r="P15" s="291" t="s">
        <v>573</v>
      </c>
      <c r="Q15" s="17" t="s">
        <v>573</v>
      </c>
      <c r="R15" s="303" t="str">
        <f t="shared" ref="R15:R16" si="6">Q15</f>
        <v>Exact Amount</v>
      </c>
    </row>
    <row r="16" spans="1:18" x14ac:dyDescent="0.35">
      <c r="A16" s="17" t="s">
        <v>627</v>
      </c>
      <c r="B16" s="17" t="s">
        <v>526</v>
      </c>
      <c r="C16" s="17" t="s">
        <v>527</v>
      </c>
      <c r="D16" s="363" t="s">
        <v>14</v>
      </c>
      <c r="E16" s="292">
        <f>INDEX('2022 CONG 2022 Actual'!$F$9:$CD$300, MATCH('Other Cong. Direction'!A16, '2022 CONG 2022 Actual'!$A$9:$A$300, 0), MATCH('Other Cong. Direction'!B16, '2022 CONG 2022 Actual'!$F$4:$CD$4, 0))</f>
        <v>215.05887000000001</v>
      </c>
      <c r="F16" s="301">
        <f>IFERROR(INDEX('2022 CONG 2022 CP'!$F$8:$CG$300, MATCH('Other Cong. Direction'!A16, '2022 CONG 2022 CP'!$A$8:$A$300, 0), MATCH('Other Cong. Direction'!B16, '2022 CONG 2022 CP'!$F$3:$CG$3, 0)), 0)</f>
        <v>215</v>
      </c>
      <c r="G16" s="286">
        <f>IFERROR(INDEX('2024 OMB 2023 Req.'!$F$8:$CG$300, MATCH('Other Cong. Direction'!A16, '2024 OMB 2023 Req.'!$A$8:$A$300, 0), MATCH('Other Cong. Direction'!B16, '2024 OMB 2023 Req.'!$F$3:$CG$3, 0)), 0)</f>
        <v>247.25</v>
      </c>
      <c r="H16" s="287">
        <v>225</v>
      </c>
      <c r="I16" s="289">
        <v>245</v>
      </c>
      <c r="J16" s="319">
        <f t="shared" si="4"/>
        <v>245</v>
      </c>
      <c r="K16" s="324">
        <f t="shared" si="3"/>
        <v>30</v>
      </c>
      <c r="L16" s="328">
        <f t="shared" si="1"/>
        <v>0.13953488372093023</v>
      </c>
      <c r="M16" s="346">
        <f t="shared" si="2"/>
        <v>29.941129999999987</v>
      </c>
      <c r="N16" s="344">
        <f t="shared" si="0"/>
        <v>0.13922294858147438</v>
      </c>
      <c r="O16" s="289" t="s">
        <v>662</v>
      </c>
      <c r="P16" s="291" t="s">
        <v>571</v>
      </c>
      <c r="Q16" s="17" t="s">
        <v>586</v>
      </c>
      <c r="R16" s="303" t="str">
        <f t="shared" si="6"/>
        <v>"No less than…" for EPSCoR program line; In addition to dollar amount, directs percent of total research/scholarship funding to EPSCoR states.</v>
      </c>
    </row>
    <row r="17" spans="1:18" x14ac:dyDescent="0.35">
      <c r="A17" s="17" t="s">
        <v>628</v>
      </c>
      <c r="B17" s="17" t="s">
        <v>526</v>
      </c>
      <c r="C17" s="17" t="s">
        <v>527</v>
      </c>
      <c r="D17" s="363" t="s">
        <v>388</v>
      </c>
      <c r="E17" s="292">
        <f>IFERROR(INDEX('2022 CONG 2022 Actual'!$F$9:$CD$300, MATCH('Other Cong. Direction'!A17, '2022 CONG 2022 Actual'!$A$9:$A$300, 0), MATCH('Other Cong. Direction'!B17, '2022 CONG 2022 Actual'!$F$4:$CD$4, 0)), 0)</f>
        <v>0</v>
      </c>
      <c r="F17" s="301">
        <f>IFERROR(INDEX('2022 CONG 2022 CP'!$F$8:$CG$300, MATCH('Other Cong. Direction'!A17, '2022 CONG 2022 CP'!$A$8:$A$300, 0), MATCH('Other Cong. Direction'!B17, '2022 CONG 2022 CP'!$F$3:$CG$3, 0)), 0)</f>
        <v>0</v>
      </c>
      <c r="G17" s="286">
        <f>IFERROR(INDEX('2024 OMB 2023 Req.'!$F$8:$CG$300, MATCH('Other Cong. Direction'!A17, '2024 OMB 2023 Req.'!$A$8:$A$300, 0), MATCH('Other Cong. Direction'!B17, '2024 OMB 2023 Req.'!$F$3:$CG$3, 0)), 0)</f>
        <v>50</v>
      </c>
      <c r="H17" s="287">
        <v>35</v>
      </c>
      <c r="I17" s="289" t="s">
        <v>635</v>
      </c>
      <c r="J17" s="319">
        <f>H17</f>
        <v>35</v>
      </c>
      <c r="K17" s="324">
        <f t="shared" si="3"/>
        <v>35</v>
      </c>
      <c r="L17" s="328" t="str">
        <f t="shared" si="1"/>
        <v>N/A</v>
      </c>
      <c r="M17" s="346">
        <f t="shared" si="2"/>
        <v>35</v>
      </c>
      <c r="N17" s="344" t="str">
        <f t="shared" si="0"/>
        <v>N/A</v>
      </c>
      <c r="O17" s="289" t="s">
        <v>663</v>
      </c>
      <c r="P17" s="291" t="s">
        <v>570</v>
      </c>
      <c r="Q17" s="17" t="s">
        <v>587</v>
      </c>
      <c r="R17" s="303" t="str">
        <f>P17</f>
        <v>Up to</v>
      </c>
    </row>
    <row r="18" spans="1:18" x14ac:dyDescent="0.35">
      <c r="C18" s="17" t="s">
        <v>527</v>
      </c>
      <c r="D18" s="314" t="s">
        <v>588</v>
      </c>
      <c r="E18" s="296" t="s">
        <v>631</v>
      </c>
      <c r="F18" s="302" t="s">
        <v>631</v>
      </c>
      <c r="G18" s="287" t="s">
        <v>631</v>
      </c>
      <c r="H18" s="287" t="s">
        <v>422</v>
      </c>
      <c r="I18" s="289" t="s">
        <v>618</v>
      </c>
      <c r="J18" s="319" t="s">
        <v>618</v>
      </c>
      <c r="K18" s="324">
        <f t="shared" si="3"/>
        <v>0</v>
      </c>
      <c r="L18" s="328" t="str">
        <f t="shared" si="1"/>
        <v>N/A</v>
      </c>
      <c r="M18" s="346">
        <f t="shared" si="2"/>
        <v>0</v>
      </c>
      <c r="N18" s="344" t="str">
        <f t="shared" si="0"/>
        <v>N/A</v>
      </c>
      <c r="O18" s="289" t="s">
        <v>662</v>
      </c>
      <c r="P18" s="291"/>
      <c r="Q18" s="17" t="s">
        <v>589</v>
      </c>
      <c r="R18" s="303" t="str">
        <f t="shared" ref="R18:R35" si="7">Q18</f>
        <v>Unless otherwise noted, within amounts provided, NSF is directed to allocate no less than FY 2022 enacted levels…</v>
      </c>
    </row>
    <row r="19" spans="1:18" x14ac:dyDescent="0.35">
      <c r="C19" s="17" t="s">
        <v>527</v>
      </c>
      <c r="D19" s="363" t="s">
        <v>590</v>
      </c>
      <c r="E19" s="296">
        <v>0</v>
      </c>
      <c r="F19" s="302">
        <v>0</v>
      </c>
      <c r="G19" s="297" t="s">
        <v>619</v>
      </c>
      <c r="H19" s="287" t="s">
        <v>638</v>
      </c>
      <c r="I19" s="289">
        <v>30</v>
      </c>
      <c r="J19" s="319">
        <f t="shared" ref="J19:J35" si="8">I19</f>
        <v>30</v>
      </c>
      <c r="K19" s="324">
        <f t="shared" si="3"/>
        <v>30</v>
      </c>
      <c r="L19" s="328" t="str">
        <f t="shared" si="1"/>
        <v>N/A</v>
      </c>
      <c r="M19" s="346">
        <f t="shared" si="2"/>
        <v>30</v>
      </c>
      <c r="N19" s="344" t="str">
        <f t="shared" si="0"/>
        <v>N/A</v>
      </c>
      <c r="O19" s="289" t="s">
        <v>662</v>
      </c>
      <c r="P19" s="291"/>
      <c r="Q19" s="17" t="s">
        <v>570</v>
      </c>
      <c r="R19" s="303" t="str">
        <f t="shared" si="7"/>
        <v>Up to</v>
      </c>
    </row>
    <row r="20" spans="1:18" x14ac:dyDescent="0.35">
      <c r="C20" s="17" t="s">
        <v>527</v>
      </c>
      <c r="D20" s="314" t="s">
        <v>591</v>
      </c>
      <c r="E20" s="296" t="s">
        <v>631</v>
      </c>
      <c r="F20" s="302" t="s">
        <v>631</v>
      </c>
      <c r="G20" s="287" t="s">
        <v>631</v>
      </c>
      <c r="H20" s="287" t="s">
        <v>422</v>
      </c>
      <c r="I20" s="289" t="s">
        <v>618</v>
      </c>
      <c r="J20" s="319" t="str">
        <f t="shared" si="8"/>
        <v>Equal to FY 2022 Enacted</v>
      </c>
      <c r="K20" s="324">
        <f t="shared" si="3"/>
        <v>0</v>
      </c>
      <c r="L20" s="328" t="str">
        <f t="shared" si="1"/>
        <v>N/A</v>
      </c>
      <c r="M20" s="346">
        <f t="shared" si="2"/>
        <v>0</v>
      </c>
      <c r="N20" s="344" t="str">
        <f t="shared" si="0"/>
        <v>N/A</v>
      </c>
      <c r="O20" s="289" t="s">
        <v>662</v>
      </c>
      <c r="P20" s="291"/>
      <c r="Q20" s="17" t="s">
        <v>592</v>
      </c>
      <c r="R20" s="382" t="str">
        <f>Q20</f>
        <v>No less than FY 2022 enacted…."fully funds maximum operating capacity of the CHEXS"</v>
      </c>
    </row>
    <row r="21" spans="1:18" x14ac:dyDescent="0.35">
      <c r="A21" s="17" t="s">
        <v>629</v>
      </c>
      <c r="B21" s="17" t="s">
        <v>333</v>
      </c>
      <c r="C21" s="17" t="s">
        <v>527</v>
      </c>
      <c r="D21" s="314" t="s">
        <v>593</v>
      </c>
      <c r="E21" s="292">
        <f>INDEX('2022 CONG 2022 Actual'!$F$9:$CD$300, MATCH('Other Cong. Direction'!A21, '2022 CONG 2022 Actual'!$A$9:$A$300, 0), MATCH('Other Cong. Direction'!B21, '2022 CONG 2022 Actual'!$F$4:$CD$4, 0))</f>
        <v>15.53</v>
      </c>
      <c r="F21" s="301">
        <f>IFERROR(INDEX('2022 CONG 2022 CP'!$F$8:$CG$300, MATCH('Other Cong. Direction'!A21, '2022 CONG 2022 CP'!$A$8:$A$300, 0), MATCH('Other Cong. Direction'!B21, '2022 CONG 2022 CP'!$F$3:$CG$3, 0)), 0)</f>
        <v>9.1199999999999992</v>
      </c>
      <c r="G21" s="286">
        <f>IFERROR(INDEX('2024 OMB 2023 Req.'!$F$8:$CG$300, MATCH('Other Cong. Direction'!A21, '2024 OMB 2023 Req.'!$A$8:$A$300, 0), MATCH('Other Cong. Direction'!B21, '2024 OMB 2023 Req.'!$F$3:$CG$3, 0)), 0)</f>
        <v>10.83</v>
      </c>
      <c r="H21" s="287" t="s">
        <v>422</v>
      </c>
      <c r="I21" s="289">
        <f>G21</f>
        <v>10.83</v>
      </c>
      <c r="J21" s="319">
        <f t="shared" si="8"/>
        <v>10.83</v>
      </c>
      <c r="K21" s="324">
        <f t="shared" si="3"/>
        <v>1.7100000000000009</v>
      </c>
      <c r="L21" s="328">
        <f t="shared" si="1"/>
        <v>0.18750000000000011</v>
      </c>
      <c r="M21" s="346">
        <f t="shared" si="2"/>
        <v>0</v>
      </c>
      <c r="N21" s="344">
        <f t="shared" si="0"/>
        <v>0</v>
      </c>
      <c r="O21" s="289" t="s">
        <v>662</v>
      </c>
      <c r="P21" s="291"/>
      <c r="Q21" s="17" t="s">
        <v>594</v>
      </c>
      <c r="R21" s="303" t="str">
        <f t="shared" si="7"/>
        <v>No less than the requested level</v>
      </c>
    </row>
    <row r="22" spans="1:18" x14ac:dyDescent="0.35">
      <c r="A22" s="17" t="s">
        <v>630</v>
      </c>
      <c r="B22" s="17" t="s">
        <v>526</v>
      </c>
      <c r="C22" s="17" t="s">
        <v>527</v>
      </c>
      <c r="D22" s="314" t="s">
        <v>595</v>
      </c>
      <c r="E22" s="292">
        <f>INDEX('2022 CONG 2022 Actual'!$F$9:$CD$300, MATCH('Other Cong. Direction'!A22, '2022 CONG 2022 Actual'!$A$9:$A$300, 0), MATCH('Other Cong. Direction'!B22, '2022 CONG 2022 Actual'!$F$4:$CD$4, 0))</f>
        <v>39.995601000000001</v>
      </c>
      <c r="F22" s="301">
        <f>IFERROR(INDEX('2022 CONG 2022 CP'!$F$8:$CG$300, MATCH('Other Cong. Direction'!A22, '2022 CONG 2022 CP'!$A$8:$A$300, 0), MATCH('Other Cong. Direction'!B22, '2022 CONG 2022 CP'!$F$3:$CG$3, 0)), 0)</f>
        <v>40</v>
      </c>
      <c r="G22" s="286">
        <f>IFERROR(INDEX('2024 OMB 2023 Req.'!$F$8:$CG$300, MATCH('Other Cong. Direction'!A22, '2024 OMB 2023 Req.'!$A$8:$A$300, 0), MATCH('Other Cong. Direction'!B22, '2024 OMB 2023 Req.'!$F$3:$CG$3, 0)), 0)</f>
        <v>50</v>
      </c>
      <c r="H22" s="287" t="s">
        <v>422</v>
      </c>
      <c r="I22" s="289">
        <f>G22</f>
        <v>50</v>
      </c>
      <c r="J22" s="319">
        <f t="shared" si="8"/>
        <v>50</v>
      </c>
      <c r="K22" s="324">
        <f t="shared" si="3"/>
        <v>10</v>
      </c>
      <c r="L22" s="328">
        <f t="shared" si="1"/>
        <v>0.25</v>
      </c>
      <c r="M22" s="346">
        <f t="shared" si="2"/>
        <v>10.004398999999999</v>
      </c>
      <c r="N22" s="344">
        <f t="shared" si="0"/>
        <v>0.25013748386978857</v>
      </c>
      <c r="O22" s="289" t="s">
        <v>662</v>
      </c>
      <c r="P22" s="291"/>
      <c r="Q22" s="17" t="s">
        <v>596</v>
      </c>
      <c r="R22" s="303" t="str">
        <f t="shared" si="7"/>
        <v>Up to the request level</v>
      </c>
    </row>
    <row r="23" spans="1:18" x14ac:dyDescent="0.35">
      <c r="C23" s="17" t="s">
        <v>527</v>
      </c>
      <c r="D23" s="314" t="s">
        <v>597</v>
      </c>
      <c r="E23" s="296" t="s">
        <v>631</v>
      </c>
      <c r="F23" s="302" t="s">
        <v>631</v>
      </c>
      <c r="G23" s="287" t="s">
        <v>631</v>
      </c>
      <c r="H23" s="287" t="s">
        <v>638</v>
      </c>
      <c r="I23" s="289" t="s">
        <v>638</v>
      </c>
      <c r="J23" s="319" t="str">
        <f t="shared" si="8"/>
        <v>Unspecified</v>
      </c>
      <c r="K23" s="324">
        <f t="shared" si="3"/>
        <v>0</v>
      </c>
      <c r="L23" s="328" t="str">
        <f t="shared" si="1"/>
        <v>N/A</v>
      </c>
      <c r="M23" s="346">
        <f t="shared" si="2"/>
        <v>0</v>
      </c>
      <c r="N23" s="344" t="str">
        <f t="shared" si="0"/>
        <v>N/A</v>
      </c>
      <c r="O23" s="289" t="s">
        <v>662</v>
      </c>
      <c r="P23" s="291"/>
      <c r="Q23" s="17" t="s">
        <v>598</v>
      </c>
      <c r="R23" s="303" t="str">
        <f t="shared" si="7"/>
        <v>"In particular…encouraged to support the construction or acquisition of local-class research vessels through the MRI or Mid-scale programs"</v>
      </c>
    </row>
    <row r="24" spans="1:18" x14ac:dyDescent="0.35">
      <c r="C24" s="17" t="s">
        <v>527</v>
      </c>
      <c r="D24" s="314" t="s">
        <v>599</v>
      </c>
      <c r="E24" s="296" t="s">
        <v>631</v>
      </c>
      <c r="F24" s="302" t="s">
        <v>631</v>
      </c>
      <c r="G24" s="287" t="s">
        <v>631</v>
      </c>
      <c r="H24" s="287" t="s">
        <v>638</v>
      </c>
      <c r="I24" s="289" t="s">
        <v>638</v>
      </c>
      <c r="J24" s="319" t="str">
        <f t="shared" si="8"/>
        <v>Unspecified</v>
      </c>
      <c r="K24" s="324">
        <f t="shared" si="3"/>
        <v>0</v>
      </c>
      <c r="L24" s="328" t="str">
        <f t="shared" si="1"/>
        <v>N/A</v>
      </c>
      <c r="M24" s="346">
        <f t="shared" si="2"/>
        <v>0</v>
      </c>
      <c r="N24" s="344" t="str">
        <f t="shared" si="0"/>
        <v>N/A</v>
      </c>
      <c r="O24" s="289" t="s">
        <v>662</v>
      </c>
      <c r="P24" s="291"/>
      <c r="Q24" s="17" t="s">
        <v>600</v>
      </c>
      <c r="R24" s="303" t="str">
        <f t="shared" si="7"/>
        <v>"directed to review its biological infrastructure…."</v>
      </c>
    </row>
    <row r="25" spans="1:18" x14ac:dyDescent="0.35">
      <c r="A25" s="17" t="s">
        <v>632</v>
      </c>
      <c r="B25" s="17" t="s">
        <v>325</v>
      </c>
      <c r="C25" s="17" t="s">
        <v>527</v>
      </c>
      <c r="D25" s="314" t="s">
        <v>601</v>
      </c>
      <c r="E25" s="292">
        <f>INDEX('2022 CONG 2022 Actual'!$F$9:$CD$300, MATCH('Other Cong. Direction'!A25, '2022 CONG 2022 Actual'!$A$9:$A$300, 0), MATCH('Other Cong. Direction'!B25, '2022 CONG 2022 Actual'!$F$4:$CD$4, 0))</f>
        <v>30</v>
      </c>
      <c r="F25" s="301">
        <f>IFERROR(INDEX('2022 CONG 2022 CP'!$F$8:$CG$300, MATCH('Other Cong. Direction'!A25, '2022 CONG 2022 CP'!$A$8:$A$300, 0), MATCH('Other Cong. Direction'!B25, '2022 CONG 2022 CP'!$F$3:$CG$3, 0)), 0)</f>
        <v>30</v>
      </c>
      <c r="G25" s="286">
        <f>'2024 OMB 2023 Req.'!CG57</f>
        <v>30</v>
      </c>
      <c r="H25" s="287" t="s">
        <v>422</v>
      </c>
      <c r="I25" s="289" t="s">
        <v>638</v>
      </c>
      <c r="J25" s="319" t="str">
        <f t="shared" si="8"/>
        <v>Unspecified</v>
      </c>
      <c r="K25" s="324">
        <f t="shared" si="3"/>
        <v>0</v>
      </c>
      <c r="L25" s="328">
        <f t="shared" si="1"/>
        <v>0</v>
      </c>
      <c r="M25" s="346">
        <f t="shared" si="2"/>
        <v>0</v>
      </c>
      <c r="N25" s="344">
        <f t="shared" si="0"/>
        <v>0</v>
      </c>
      <c r="O25" s="289" t="s">
        <v>662</v>
      </c>
      <c r="P25" s="291"/>
      <c r="Q25" s="17" t="s">
        <v>602</v>
      </c>
      <c r="R25" s="303" t="str">
        <f t="shared" si="7"/>
        <v>"supports focus on plant genomics"</v>
      </c>
    </row>
    <row r="26" spans="1:18" x14ac:dyDescent="0.35">
      <c r="A26" s="17" t="s">
        <v>633</v>
      </c>
      <c r="B26" s="17" t="s">
        <v>333</v>
      </c>
      <c r="C26" s="17" t="s">
        <v>527</v>
      </c>
      <c r="D26" s="314" t="s">
        <v>543</v>
      </c>
      <c r="E26" s="292">
        <f>INDEX('2022 CONG 2022 Actual'!$F$9:$CD$300, MATCH('Other Cong. Direction'!A26, '2022 CONG 2022 Actual'!$A$9:$A$300, 0), MATCH('Other Cong. Direction'!B26, '2022 CONG 2022 Actual'!$F$4:$CD$4, 0))</f>
        <v>30.248187000000001</v>
      </c>
      <c r="F26" s="301">
        <f>IFERROR(INDEX('2022 CONG 2022 CP'!$F$8:$CG$300, MATCH('Other Cong. Direction'!A26, '2022 CONG 2022 CP'!$A$8:$A$300, 0), MATCH('Other Cong. Direction'!B26, '2022 CONG 2022 CP'!$F$3:$CG$3, 0)), 0)</f>
        <v>30</v>
      </c>
      <c r="G26" s="286">
        <f>'2024 OMB 2023 Req.'!CG40</f>
        <v>30</v>
      </c>
      <c r="H26" s="287" t="s">
        <v>638</v>
      </c>
      <c r="I26" s="289" t="s">
        <v>638</v>
      </c>
      <c r="J26" s="319" t="str">
        <f t="shared" si="8"/>
        <v>Unspecified</v>
      </c>
      <c r="K26" s="324">
        <f t="shared" si="3"/>
        <v>0</v>
      </c>
      <c r="L26" s="328">
        <f t="shared" si="1"/>
        <v>0</v>
      </c>
      <c r="M26" s="346">
        <f t="shared" si="2"/>
        <v>0</v>
      </c>
      <c r="N26" s="344">
        <f t="shared" si="0"/>
        <v>0</v>
      </c>
      <c r="O26" s="289" t="s">
        <v>662</v>
      </c>
      <c r="P26" s="291"/>
      <c r="Q26" s="17" t="s">
        <v>603</v>
      </c>
      <c r="R26" s="303" t="str">
        <f t="shared" si="7"/>
        <v>encouraged to expand support of research and infrastructure in the North Atlantic…develop new multinational partnerships</v>
      </c>
    </row>
    <row r="27" spans="1:18" x14ac:dyDescent="0.35">
      <c r="A27" s="17" t="s">
        <v>634</v>
      </c>
      <c r="B27" s="17" t="s">
        <v>333</v>
      </c>
      <c r="C27" s="17" t="s">
        <v>527</v>
      </c>
      <c r="D27" s="314" t="s">
        <v>540</v>
      </c>
      <c r="E27" s="292">
        <f>INDEX('2022 CONG 2022 Actual'!$F$9:$CD$300, MATCH('Other Cong. Direction'!A27, '2022 CONG 2022 Actual'!$A$9:$A$300, 0), MATCH('Other Cong. Direction'!B27, '2022 CONG 2022 Actual'!$F$4:$CD$4, 0))</f>
        <v>51.7</v>
      </c>
      <c r="F27" s="301">
        <f>IFERROR(INDEX('2022 CONG 2022 CP'!$F$8:$CG$300, MATCH('Other Cong. Direction'!A27, '2022 CONG 2022 CP'!$A$8:$A$300, 0), MATCH('Other Cong. Direction'!B27, '2022 CONG 2022 CP'!$F$3:$CG$3, 0)), 0)</f>
        <v>51.7</v>
      </c>
      <c r="G27" s="286">
        <f>IFERROR(INDEX('2024 OMB 2023 Req.'!$F$8:$CG$300, MATCH('Other Cong. Direction'!A27, '2024 OMB 2023 Req.'!$A$8:$A$300, 0), MATCH('Other Cong. Direction'!B27, '2024 OMB 2023 Req.'!$F$3:$CG$3, 0)), 0)</f>
        <v>50.4</v>
      </c>
      <c r="H27" s="287">
        <f>G27</f>
        <v>50.4</v>
      </c>
      <c r="I27" s="289">
        <f>G27</f>
        <v>50.4</v>
      </c>
      <c r="J27" s="319">
        <f t="shared" si="8"/>
        <v>50.4</v>
      </c>
      <c r="K27" s="324">
        <f t="shared" si="3"/>
        <v>0</v>
      </c>
      <c r="L27" s="328">
        <f t="shared" si="1"/>
        <v>0</v>
      </c>
      <c r="M27" s="346">
        <f t="shared" si="2"/>
        <v>0</v>
      </c>
      <c r="N27" s="344">
        <f t="shared" si="0"/>
        <v>0</v>
      </c>
      <c r="O27" s="289" t="s">
        <v>662</v>
      </c>
      <c r="P27" s="291" t="s">
        <v>642</v>
      </c>
      <c r="Q27" s="17" t="s">
        <v>596</v>
      </c>
      <c r="R27" s="303" t="str">
        <f t="shared" si="7"/>
        <v>Up to the request level</v>
      </c>
    </row>
    <row r="28" spans="1:18" x14ac:dyDescent="0.35">
      <c r="C28" s="17" t="s">
        <v>527</v>
      </c>
      <c r="D28" s="314" t="s">
        <v>544</v>
      </c>
      <c r="E28" s="296" t="s">
        <v>631</v>
      </c>
      <c r="F28" s="302" t="s">
        <v>631</v>
      </c>
      <c r="G28" s="287" t="s">
        <v>631</v>
      </c>
      <c r="H28" s="287" t="s">
        <v>638</v>
      </c>
      <c r="I28" s="289" t="s">
        <v>638</v>
      </c>
      <c r="J28" s="319" t="str">
        <f t="shared" si="8"/>
        <v>Unspecified</v>
      </c>
      <c r="K28" s="324">
        <f t="shared" si="3"/>
        <v>0</v>
      </c>
      <c r="L28" s="328" t="str">
        <f t="shared" si="1"/>
        <v>N/A</v>
      </c>
      <c r="M28" s="346">
        <f t="shared" si="2"/>
        <v>0</v>
      </c>
      <c r="N28" s="344" t="str">
        <f t="shared" si="0"/>
        <v>N/A</v>
      </c>
      <c r="O28" s="289" t="s">
        <v>662</v>
      </c>
      <c r="P28" s="291"/>
      <c r="Q28" s="17" t="s">
        <v>604</v>
      </c>
      <c r="R28" s="303" t="str">
        <f t="shared" si="7"/>
        <v>directed to continue research associated with program, encouraged to coordinate with OSTP to implement provisions of the FY 2021 NDAA</v>
      </c>
    </row>
    <row r="29" spans="1:18" x14ac:dyDescent="0.35">
      <c r="C29" s="17" t="s">
        <v>527</v>
      </c>
      <c r="D29" s="314" t="s">
        <v>605</v>
      </c>
      <c r="E29" s="296" t="s">
        <v>631</v>
      </c>
      <c r="F29" s="302" t="s">
        <v>631</v>
      </c>
      <c r="G29" s="287" t="s">
        <v>631</v>
      </c>
      <c r="H29" s="287" t="s">
        <v>422</v>
      </c>
      <c r="I29" s="289" t="s">
        <v>638</v>
      </c>
      <c r="J29" s="319" t="str">
        <f t="shared" si="8"/>
        <v>Unspecified</v>
      </c>
      <c r="K29" s="324">
        <f t="shared" si="3"/>
        <v>0</v>
      </c>
      <c r="L29" s="328" t="str">
        <f t="shared" si="1"/>
        <v>N/A</v>
      </c>
      <c r="M29" s="346">
        <f t="shared" si="2"/>
        <v>0</v>
      </c>
      <c r="N29" s="344" t="str">
        <f t="shared" si="0"/>
        <v>N/A</v>
      </c>
      <c r="O29" s="289" t="s">
        <v>662</v>
      </c>
      <c r="P29" s="291"/>
      <c r="Q29" s="17" t="s">
        <v>607</v>
      </c>
      <c r="R29" s="303" t="str">
        <f t="shared" si="7"/>
        <v>Encouraged to look beyond traditional research disciplines…</v>
      </c>
    </row>
    <row r="30" spans="1:18" x14ac:dyDescent="0.35">
      <c r="C30" s="17" t="s">
        <v>527</v>
      </c>
      <c r="D30" s="314" t="s">
        <v>606</v>
      </c>
      <c r="E30" s="296" t="s">
        <v>631</v>
      </c>
      <c r="F30" s="302" t="s">
        <v>631</v>
      </c>
      <c r="G30" s="287" t="s">
        <v>631</v>
      </c>
      <c r="H30" s="287" t="s">
        <v>422</v>
      </c>
      <c r="I30" s="289" t="s">
        <v>638</v>
      </c>
      <c r="J30" s="319" t="str">
        <f t="shared" si="8"/>
        <v>Unspecified</v>
      </c>
      <c r="K30" s="324">
        <f t="shared" si="3"/>
        <v>0</v>
      </c>
      <c r="L30" s="328" t="str">
        <f t="shared" si="1"/>
        <v>N/A</v>
      </c>
      <c r="M30" s="346">
        <f t="shared" si="2"/>
        <v>0</v>
      </c>
      <c r="N30" s="344" t="str">
        <f t="shared" si="0"/>
        <v>N/A</v>
      </c>
      <c r="O30" s="289" t="s">
        <v>662</v>
      </c>
      <c r="P30" s="291"/>
      <c r="Q30" s="17" t="s">
        <v>608</v>
      </c>
      <c r="R30" s="303" t="str">
        <f t="shared" si="7"/>
        <v>Encouraged to fund grants for meritorious landslide research, data collection, and warning systems.</v>
      </c>
    </row>
    <row r="31" spans="1:18" x14ac:dyDescent="0.35">
      <c r="C31" s="17" t="s">
        <v>527</v>
      </c>
      <c r="D31" s="314" t="s">
        <v>609</v>
      </c>
      <c r="E31" s="296" t="s">
        <v>631</v>
      </c>
      <c r="F31" s="302" t="s">
        <v>631</v>
      </c>
      <c r="G31" s="287" t="s">
        <v>631</v>
      </c>
      <c r="H31" s="287" t="s">
        <v>422</v>
      </c>
      <c r="I31" s="289" t="s">
        <v>638</v>
      </c>
      <c r="J31" s="319" t="str">
        <f t="shared" si="8"/>
        <v>Unspecified</v>
      </c>
      <c r="K31" s="324">
        <f t="shared" si="3"/>
        <v>0</v>
      </c>
      <c r="L31" s="328" t="str">
        <f t="shared" si="1"/>
        <v>N/A</v>
      </c>
      <c r="M31" s="346">
        <f t="shared" si="2"/>
        <v>0</v>
      </c>
      <c r="N31" s="344" t="str">
        <f t="shared" si="0"/>
        <v>N/A</v>
      </c>
      <c r="O31" s="289" t="s">
        <v>662</v>
      </c>
      <c r="P31" s="291"/>
      <c r="Q31" s="17" t="s">
        <v>610</v>
      </c>
      <c r="R31" s="303" t="str">
        <f t="shared" si="7"/>
        <v>Supports recommendations of the NSF analysis titled "Portfolio Review of EAR Seismology and Geodesy Instrumentation"</v>
      </c>
    </row>
    <row r="32" spans="1:18" x14ac:dyDescent="0.35">
      <c r="C32" s="17" t="s">
        <v>527</v>
      </c>
      <c r="D32" s="314" t="s">
        <v>547</v>
      </c>
      <c r="E32" s="296" t="s">
        <v>631</v>
      </c>
      <c r="F32" s="302" t="s">
        <v>631</v>
      </c>
      <c r="G32" s="287" t="s">
        <v>631</v>
      </c>
      <c r="H32" s="287" t="s">
        <v>638</v>
      </c>
      <c r="I32" s="289" t="s">
        <v>638</v>
      </c>
      <c r="J32" s="319" t="str">
        <f t="shared" si="8"/>
        <v>Unspecified</v>
      </c>
      <c r="K32" s="324">
        <f t="shared" si="3"/>
        <v>0</v>
      </c>
      <c r="L32" s="328" t="str">
        <f t="shared" si="1"/>
        <v>N/A</v>
      </c>
      <c r="M32" s="346">
        <f t="shared" si="2"/>
        <v>0</v>
      </c>
      <c r="N32" s="344" t="str">
        <f t="shared" si="0"/>
        <v>N/A</v>
      </c>
      <c r="O32" s="289" t="s">
        <v>662</v>
      </c>
      <c r="P32" s="291"/>
      <c r="Q32" s="17" t="s">
        <v>611</v>
      </c>
      <c r="R32" s="303" t="str">
        <f t="shared" si="7"/>
        <v>Shall brief the Committees, no later than 180 days after enactment of this act…</v>
      </c>
    </row>
    <row r="33" spans="1:18" x14ac:dyDescent="0.35">
      <c r="A33" s="17" t="s">
        <v>636</v>
      </c>
      <c r="B33" s="17" t="s">
        <v>333</v>
      </c>
      <c r="C33" s="17" t="s">
        <v>621</v>
      </c>
      <c r="D33" s="314" t="s">
        <v>548</v>
      </c>
      <c r="E33" s="292">
        <f>INDEX('2022 CONG 2022 Actual'!$F$9:$CD$300, MATCH('Other Cong. Direction'!A33, '2022 CONG 2022 Actual'!$A$9:$A$300, 0), MATCH('Other Cong. Direction'!B33, '2022 CONG 2022 Actual'!$F$4:$CD$4, 0))</f>
        <v>1.267431</v>
      </c>
      <c r="F33" s="301">
        <f>IFERROR(INDEX('2022 CONG 2022 CP'!$F$8:$CG$300, MATCH('Other Cong. Direction'!A33, '2022 CONG 2022 CP'!$A$8:$A$300, 0), MATCH('Other Cong. Direction'!B33, '2022 CONG 2022 CP'!$F$3:$CG$3, 0)), 0)</f>
        <v>1.5</v>
      </c>
      <c r="G33" s="286">
        <f>IFERROR(INDEX('2024 OMB 2023 Req.'!$F$8:$CG$300, MATCH('Other Cong. Direction'!A33, '2024 OMB 2023 Req.'!$A$8:$A$300, 0), MATCH('Other Cong. Direction'!B33, '2024 OMB 2023 Req.'!$F$3:$CG$3, 0)), 0)</f>
        <v>2.5</v>
      </c>
      <c r="H33" s="287" t="s">
        <v>638</v>
      </c>
      <c r="I33" s="289" t="s">
        <v>638</v>
      </c>
      <c r="J33" s="319" t="str">
        <f t="shared" si="8"/>
        <v>Unspecified</v>
      </c>
      <c r="K33" s="324">
        <f t="shared" si="3"/>
        <v>0</v>
      </c>
      <c r="L33" s="328">
        <f t="shared" si="1"/>
        <v>0</v>
      </c>
      <c r="M33" s="346">
        <f t="shared" si="2"/>
        <v>0</v>
      </c>
      <c r="N33" s="344">
        <f t="shared" si="0"/>
        <v>0</v>
      </c>
      <c r="O33" s="289" t="s">
        <v>662</v>
      </c>
      <c r="P33" s="291"/>
      <c r="Q33" s="17" t="s">
        <v>612</v>
      </c>
      <c r="R33" s="303" t="str">
        <f t="shared" si="7"/>
        <v>Notes the importance….supports NSF's initiatives to create…continue to engage….directs report not later than 90 days after enactment of the Act</v>
      </c>
    </row>
    <row r="34" spans="1:18" x14ac:dyDescent="0.35">
      <c r="C34" s="17" t="s">
        <v>527</v>
      </c>
      <c r="D34" s="314" t="s">
        <v>613</v>
      </c>
      <c r="E34" s="296" t="s">
        <v>631</v>
      </c>
      <c r="F34" s="302" t="s">
        <v>631</v>
      </c>
      <c r="G34" s="287" t="s">
        <v>631</v>
      </c>
      <c r="H34" s="287" t="s">
        <v>638</v>
      </c>
      <c r="I34" s="289" t="s">
        <v>638</v>
      </c>
      <c r="J34" s="319" t="str">
        <f t="shared" si="8"/>
        <v>Unspecified</v>
      </c>
      <c r="K34" s="324">
        <f t="shared" si="3"/>
        <v>0</v>
      </c>
      <c r="L34" s="328" t="str">
        <f t="shared" si="1"/>
        <v>N/A</v>
      </c>
      <c r="M34" s="346">
        <f t="shared" si="2"/>
        <v>0</v>
      </c>
      <c r="N34" s="344" t="str">
        <f t="shared" si="0"/>
        <v>N/A</v>
      </c>
      <c r="O34" s="289" t="s">
        <v>662</v>
      </c>
      <c r="P34" s="291"/>
      <c r="Q34" s="17" t="s">
        <v>614</v>
      </c>
      <c r="R34" s="303" t="str">
        <f t="shared" si="7"/>
        <v>House language on "Power Dynamics in the Research Community" is adopted. Directs report to Committees not later than 180 days after enactment</v>
      </c>
    </row>
    <row r="35" spans="1:18" x14ac:dyDescent="0.35">
      <c r="A35" s="17" t="s">
        <v>339</v>
      </c>
      <c r="B35" s="17" t="s">
        <v>341</v>
      </c>
      <c r="C35" s="17" t="s">
        <v>31</v>
      </c>
      <c r="D35" s="314" t="s">
        <v>616</v>
      </c>
      <c r="E35" s="292">
        <f>INDEX('2022 CONG 2022 Actual'!$F$9:$CD$300, MATCH('Other Cong. Direction'!A35, '2022 CONG 2022 Actual'!$A$9:$A$300, 0), MATCH('Other Cong. Direction'!B35, '2022 CONG 2022 Actual'!$F$4:$CD$4, 0))</f>
        <v>120.599648</v>
      </c>
      <c r="F35" s="301">
        <f>IFERROR(INDEX('2022 CONG 2022 CP'!$F$8:$CG$300, MATCH('Other Cong. Direction'!A35, '2022 CONG 2022 CP'!$A$8:$A$300, 0), MATCH('Other Cong. Direction'!B35, '2022 CONG 2022 CP'!$F$3:$CG$3, 0)), 0)</f>
        <v>240.52</v>
      </c>
      <c r="G35" s="286">
        <f>IFERROR(INDEX('2024 OMB 2023 Req.'!$F$8:$CG$300, MATCH('Other Cong. Direction'!A35, '2024 OMB 2023 Req.'!$A$8:$A$300, 0), MATCH('Other Cong. Direction'!B35, '2024 OMB 2023 Req.'!$F$3:$CG$3, 0)), 0)</f>
        <v>187.23</v>
      </c>
      <c r="H35" s="287" t="s">
        <v>422</v>
      </c>
      <c r="I35" s="289">
        <v>187.23</v>
      </c>
      <c r="J35" s="319">
        <f t="shared" si="8"/>
        <v>187.23</v>
      </c>
      <c r="K35" s="324">
        <f t="shared" si="3"/>
        <v>0</v>
      </c>
      <c r="L35" s="328">
        <f t="shared" si="1"/>
        <v>0</v>
      </c>
      <c r="M35" s="403">
        <v>0</v>
      </c>
      <c r="N35" s="344">
        <f t="shared" si="0"/>
        <v>0</v>
      </c>
      <c r="O35" s="289" t="s">
        <v>662</v>
      </c>
      <c r="P35" s="291"/>
      <c r="Q35" s="17" t="s">
        <v>617</v>
      </c>
      <c r="R35" s="303" t="str">
        <f t="shared" si="7"/>
        <v>Provides requested levels for all line items (including Mid-scale RI-2)</v>
      </c>
    </row>
    <row r="36" spans="1:18" x14ac:dyDescent="0.35">
      <c r="A36" s="17" t="s">
        <v>339</v>
      </c>
      <c r="B36" s="17" t="s">
        <v>637</v>
      </c>
      <c r="C36" s="17" t="s">
        <v>621</v>
      </c>
      <c r="D36" s="314" t="s">
        <v>68</v>
      </c>
      <c r="E36" s="292">
        <f>INDEX('2022 CONG 2022 Actual'!$F$9:$CD$300, MATCH('Other Cong. Direction'!A36, '2022 CONG 2022 Actual'!$A$9:$A$300, 0), MATCH('Other Cong. Direction'!B36, '2022 CONG 2022 Actual'!$F$4:$CD$4, 0))</f>
        <v>56.504930999999999</v>
      </c>
      <c r="F36" s="301">
        <f>IFERROR(INDEX('2022 CONG 2022 CP'!$F$8:$CG$300, MATCH('Other Cong. Direction'!A36, '2022 CONG 2022 CP'!$A$8:$A$300, 0), MATCH('Other Cong. Direction'!B36, '2022 CONG 2022 CP'!$F$3:$CG$3, 0)), 0)</f>
        <v>56.51</v>
      </c>
      <c r="G36" s="286">
        <f>IFERROR(INDEX('2024 OMB 2023 Req.'!$F$8:$CG$300, MATCH('Other Cong. Direction'!A36, '2024 OMB 2023 Req.'!$A$8:$A$300, 0), MATCH('Other Cong. Direction'!B36, '2024 OMB 2023 Req.'!$F$3:$CG$3, 0)), 0)</f>
        <v>74.89</v>
      </c>
      <c r="H36" s="289" t="s">
        <v>638</v>
      </c>
      <c r="I36" s="298" t="s">
        <v>638</v>
      </c>
      <c r="J36" s="341" t="s">
        <v>619</v>
      </c>
      <c r="K36" s="324">
        <f t="shared" si="3"/>
        <v>0</v>
      </c>
      <c r="L36" s="328">
        <f t="shared" si="1"/>
        <v>0</v>
      </c>
      <c r="M36" s="346">
        <f t="shared" si="2"/>
        <v>0</v>
      </c>
      <c r="N36" s="344">
        <f t="shared" si="0"/>
        <v>0</v>
      </c>
      <c r="O36" s="298" t="s">
        <v>663</v>
      </c>
      <c r="P36" s="290" t="s">
        <v>664</v>
      </c>
      <c r="R36" s="304" t="str">
        <f>P36</f>
        <v>Directs NSF to provide funding to conduct study on national cyber workforce, and supports request to add personnel.</v>
      </c>
    </row>
    <row r="37" spans="1:18" x14ac:dyDescent="0.35">
      <c r="C37" s="17" t="s">
        <v>527</v>
      </c>
      <c r="D37" s="314" t="s">
        <v>542</v>
      </c>
      <c r="E37" s="296" t="s">
        <v>631</v>
      </c>
      <c r="F37" s="302" t="s">
        <v>631</v>
      </c>
      <c r="G37" s="287" t="s">
        <v>631</v>
      </c>
      <c r="H37" s="287" t="s">
        <v>618</v>
      </c>
      <c r="I37" s="289" t="s">
        <v>422</v>
      </c>
      <c r="J37" s="319" t="str">
        <f>H37</f>
        <v>Equal to FY 2022 Enacted</v>
      </c>
      <c r="K37" s="324">
        <f t="shared" si="3"/>
        <v>0</v>
      </c>
      <c r="L37" s="328" t="str">
        <f t="shared" si="1"/>
        <v>N/A</v>
      </c>
      <c r="M37" s="346">
        <f t="shared" si="2"/>
        <v>0</v>
      </c>
      <c r="N37" s="344" t="str">
        <f t="shared" si="0"/>
        <v>N/A</v>
      </c>
      <c r="O37" s="289" t="s">
        <v>663</v>
      </c>
      <c r="P37" s="290"/>
      <c r="R37" s="303">
        <f t="shared" ref="R37:R53" si="9">P37</f>
        <v>0</v>
      </c>
    </row>
    <row r="38" spans="1:18" x14ac:dyDescent="0.35">
      <c r="A38" s="17" t="s">
        <v>655</v>
      </c>
      <c r="B38" s="17" t="s">
        <v>333</v>
      </c>
      <c r="C38" s="17" t="s">
        <v>527</v>
      </c>
      <c r="D38" s="314" t="s">
        <v>622</v>
      </c>
      <c r="E38" s="292">
        <f>INDEX('2022 CONG 2022 Actual'!$F$9:$CD$300, MATCH('Other Cong. Direction'!A38, '2022 CONG 2022 Actual'!$A$9:$A$300, 0), MATCH('Other Cong. Direction'!B38, '2022 CONG 2022 Actual'!$F$4:$CD$4, 0))</f>
        <v>12.189356999999999</v>
      </c>
      <c r="F38" s="301">
        <f>IFERROR(INDEX('2022 CONG 2022 CP'!$F$8:$CG$300, MATCH('Other Cong. Direction'!A38, '2022 CONG 2022 CP'!$A$8:$A$300, 0), MATCH('Other Cong. Direction'!B38, '2022 CONG 2022 CP'!$F$3:$CG$3, 0)), 0)</f>
        <v>12.2</v>
      </c>
      <c r="G38" s="286">
        <f>IFERROR(INDEX('2024 OMB 2023 Req.'!$F$8:$CG$300, MATCH('Other Cong. Direction'!A38, '2024 OMB 2023 Req.'!$A$8:$A$300, 0), MATCH('Other Cong. Direction'!B38, '2024 OMB 2023 Req.'!$F$3:$CG$3, 0)), 0)</f>
        <v>6</v>
      </c>
      <c r="H38" s="46" t="s">
        <v>638</v>
      </c>
      <c r="I38" s="289" t="s">
        <v>422</v>
      </c>
      <c r="J38" s="319" t="s">
        <v>638</v>
      </c>
      <c r="K38" s="324">
        <f t="shared" si="3"/>
        <v>0</v>
      </c>
      <c r="L38" s="328">
        <f t="shared" si="1"/>
        <v>0</v>
      </c>
      <c r="M38" s="346">
        <f t="shared" si="2"/>
        <v>0</v>
      </c>
      <c r="N38" s="344">
        <f t="shared" si="0"/>
        <v>0</v>
      </c>
      <c r="O38" s="289" t="s">
        <v>663</v>
      </c>
      <c r="P38" s="290"/>
      <c r="R38" s="303">
        <f t="shared" si="9"/>
        <v>0</v>
      </c>
    </row>
    <row r="39" spans="1:18" x14ac:dyDescent="0.35">
      <c r="A39" s="17" t="s">
        <v>656</v>
      </c>
      <c r="B39" s="17" t="s">
        <v>333</v>
      </c>
      <c r="C39" s="17" t="s">
        <v>527</v>
      </c>
      <c r="D39" s="314" t="s">
        <v>546</v>
      </c>
      <c r="E39" s="292">
        <f>INDEX('2022 CONG 2022 Actual'!$F$9:$CD$300, MATCH('Other Cong. Direction'!A39, '2022 CONG 2022 Actual'!$A$9:$A$300, 0), MATCH('Other Cong. Direction'!B39, '2022 CONG 2022 Actual'!$F$4:$CD$4, 0))</f>
        <v>39.933520000000001</v>
      </c>
      <c r="F39" s="301">
        <f>IFERROR(INDEX('2022 CONG 2022 CP'!$F$8:$CG$300, MATCH('Other Cong. Direction'!A39, '2022 CONG 2022 CP'!$A$8:$A$300, 0), MATCH('Other Cong. Direction'!B39, '2022 CONG 2022 CP'!$F$3:$CG$3, 0)), 0)</f>
        <v>40</v>
      </c>
      <c r="G39" s="286">
        <f>IFERROR(INDEX('2024 OMB 2023 Req.'!$F$8:$CG$300, MATCH('Other Cong. Direction'!A39, '2024 OMB 2023 Req.'!$A$8:$A$300, 0), MATCH('Other Cong. Direction'!B39, '2024 OMB 2023 Req.'!$F$3:$CG$3, 0)), 0)</f>
        <v>40</v>
      </c>
      <c r="H39" s="287">
        <v>40</v>
      </c>
      <c r="I39" s="289" t="s">
        <v>422</v>
      </c>
      <c r="J39" s="319">
        <f>H39</f>
        <v>40</v>
      </c>
      <c r="K39" s="324">
        <f t="shared" si="3"/>
        <v>0</v>
      </c>
      <c r="L39" s="328">
        <f t="shared" si="1"/>
        <v>0</v>
      </c>
      <c r="M39" s="346">
        <f t="shared" si="2"/>
        <v>6.647999999999854E-2</v>
      </c>
      <c r="N39" s="344">
        <f t="shared" si="0"/>
        <v>1.6647668424921854E-3</v>
      </c>
      <c r="O39" s="289" t="s">
        <v>663</v>
      </c>
      <c r="P39" s="290" t="s">
        <v>570</v>
      </c>
      <c r="R39" s="303" t="str">
        <f t="shared" si="9"/>
        <v>Up to</v>
      </c>
    </row>
    <row r="40" spans="1:18" x14ac:dyDescent="0.35">
      <c r="C40" s="17" t="s">
        <v>527</v>
      </c>
      <c r="D40" s="314" t="s">
        <v>639</v>
      </c>
      <c r="E40" s="296" t="s">
        <v>631</v>
      </c>
      <c r="F40" s="302" t="s">
        <v>631</v>
      </c>
      <c r="G40" s="287" t="s">
        <v>631</v>
      </c>
      <c r="H40" s="46" t="s">
        <v>638</v>
      </c>
      <c r="I40" s="284" t="s">
        <v>422</v>
      </c>
      <c r="J40" s="321" t="s">
        <v>638</v>
      </c>
      <c r="K40" s="324">
        <f t="shared" si="3"/>
        <v>0</v>
      </c>
      <c r="L40" s="328" t="str">
        <f t="shared" si="1"/>
        <v>N/A</v>
      </c>
      <c r="M40" s="346">
        <f t="shared" si="2"/>
        <v>0</v>
      </c>
      <c r="N40" s="344" t="str">
        <f t="shared" si="0"/>
        <v>N/A</v>
      </c>
      <c r="O40" s="284" t="s">
        <v>663</v>
      </c>
      <c r="P40" s="290"/>
      <c r="R40" s="303">
        <f t="shared" si="9"/>
        <v>0</v>
      </c>
    </row>
    <row r="41" spans="1:18" x14ac:dyDescent="0.35">
      <c r="C41" s="17" t="s">
        <v>527</v>
      </c>
      <c r="D41" s="314" t="s">
        <v>640</v>
      </c>
      <c r="E41" s="296" t="s">
        <v>631</v>
      </c>
      <c r="F41" s="302" t="s">
        <v>631</v>
      </c>
      <c r="G41" s="287" t="s">
        <v>631</v>
      </c>
      <c r="H41" s="46" t="s">
        <v>638</v>
      </c>
      <c r="I41" s="284" t="s">
        <v>422</v>
      </c>
      <c r="J41" s="321" t="s">
        <v>638</v>
      </c>
      <c r="K41" s="324">
        <f t="shared" si="3"/>
        <v>0</v>
      </c>
      <c r="L41" s="328" t="str">
        <f t="shared" si="1"/>
        <v>N/A</v>
      </c>
      <c r="M41" s="346">
        <f t="shared" si="2"/>
        <v>0</v>
      </c>
      <c r="N41" s="344" t="str">
        <f t="shared" si="0"/>
        <v>N/A</v>
      </c>
      <c r="O41" s="284" t="s">
        <v>663</v>
      </c>
      <c r="P41" s="290"/>
      <c r="R41" s="303">
        <f t="shared" si="9"/>
        <v>0</v>
      </c>
    </row>
    <row r="42" spans="1:18" x14ac:dyDescent="0.35">
      <c r="C42" s="17" t="s">
        <v>527</v>
      </c>
      <c r="D42" s="314" t="s">
        <v>641</v>
      </c>
      <c r="E42" s="296" t="s">
        <v>631</v>
      </c>
      <c r="F42" s="302" t="s">
        <v>631</v>
      </c>
      <c r="G42" s="287" t="s">
        <v>631</v>
      </c>
      <c r="H42" s="46" t="s">
        <v>638</v>
      </c>
      <c r="I42" s="284" t="s">
        <v>422</v>
      </c>
      <c r="J42" s="321" t="s">
        <v>638</v>
      </c>
      <c r="K42" s="324">
        <f t="shared" si="3"/>
        <v>0</v>
      </c>
      <c r="L42" s="328" t="str">
        <f t="shared" si="1"/>
        <v>N/A</v>
      </c>
      <c r="M42" s="346">
        <f t="shared" si="2"/>
        <v>0</v>
      </c>
      <c r="N42" s="344" t="str">
        <f t="shared" si="0"/>
        <v>N/A</v>
      </c>
      <c r="O42" s="284" t="s">
        <v>663</v>
      </c>
      <c r="P42" s="290"/>
      <c r="R42" s="303">
        <f t="shared" si="9"/>
        <v>0</v>
      </c>
    </row>
    <row r="43" spans="1:18" x14ac:dyDescent="0.35">
      <c r="C43" s="17" t="s">
        <v>527</v>
      </c>
      <c r="D43" s="314" t="s">
        <v>643</v>
      </c>
      <c r="E43" s="296" t="s">
        <v>631</v>
      </c>
      <c r="F43" s="302" t="s">
        <v>631</v>
      </c>
      <c r="G43" s="287" t="s">
        <v>631</v>
      </c>
      <c r="H43" s="46" t="s">
        <v>638</v>
      </c>
      <c r="I43" s="284" t="s">
        <v>422</v>
      </c>
      <c r="J43" s="321" t="s">
        <v>638</v>
      </c>
      <c r="K43" s="324">
        <f t="shared" si="3"/>
        <v>0</v>
      </c>
      <c r="L43" s="328" t="str">
        <f t="shared" si="1"/>
        <v>N/A</v>
      </c>
      <c r="M43" s="346">
        <f t="shared" si="2"/>
        <v>0</v>
      </c>
      <c r="N43" s="344" t="str">
        <f t="shared" si="0"/>
        <v>N/A</v>
      </c>
      <c r="O43" s="284" t="s">
        <v>663</v>
      </c>
      <c r="P43" s="290"/>
      <c r="R43" s="303">
        <f t="shared" si="9"/>
        <v>0</v>
      </c>
    </row>
    <row r="44" spans="1:18" x14ac:dyDescent="0.35">
      <c r="C44" s="17" t="s">
        <v>527</v>
      </c>
      <c r="D44" s="314" t="s">
        <v>644</v>
      </c>
      <c r="E44" s="296" t="s">
        <v>631</v>
      </c>
      <c r="F44" s="302" t="s">
        <v>631</v>
      </c>
      <c r="G44" s="287" t="s">
        <v>631</v>
      </c>
      <c r="H44" s="46" t="s">
        <v>638</v>
      </c>
      <c r="I44" s="284" t="s">
        <v>422</v>
      </c>
      <c r="J44" s="321" t="s">
        <v>638</v>
      </c>
      <c r="K44" s="324">
        <f t="shared" si="3"/>
        <v>0</v>
      </c>
      <c r="L44" s="328" t="str">
        <f t="shared" si="1"/>
        <v>N/A</v>
      </c>
      <c r="M44" s="346">
        <f t="shared" si="2"/>
        <v>0</v>
      </c>
      <c r="N44" s="344" t="str">
        <f t="shared" si="0"/>
        <v>N/A</v>
      </c>
      <c r="O44" s="284" t="s">
        <v>663</v>
      </c>
      <c r="P44" s="290"/>
      <c r="R44" s="303">
        <f t="shared" si="9"/>
        <v>0</v>
      </c>
    </row>
    <row r="45" spans="1:18" x14ac:dyDescent="0.35">
      <c r="C45" s="17" t="s">
        <v>527</v>
      </c>
      <c r="D45" s="314" t="s">
        <v>645</v>
      </c>
      <c r="E45" s="296" t="s">
        <v>631</v>
      </c>
      <c r="F45" s="302" t="s">
        <v>631</v>
      </c>
      <c r="G45" s="287" t="s">
        <v>631</v>
      </c>
      <c r="H45" s="46" t="s">
        <v>638</v>
      </c>
      <c r="I45" s="284" t="s">
        <v>422</v>
      </c>
      <c r="J45" s="321" t="s">
        <v>638</v>
      </c>
      <c r="K45" s="324">
        <f t="shared" si="3"/>
        <v>0</v>
      </c>
      <c r="L45" s="328" t="str">
        <f t="shared" si="1"/>
        <v>N/A</v>
      </c>
      <c r="M45" s="346">
        <f t="shared" si="2"/>
        <v>0</v>
      </c>
      <c r="N45" s="344" t="str">
        <f t="shared" si="0"/>
        <v>N/A</v>
      </c>
      <c r="O45" s="284" t="s">
        <v>663</v>
      </c>
      <c r="P45" s="290"/>
      <c r="R45" s="303">
        <f t="shared" si="9"/>
        <v>0</v>
      </c>
    </row>
    <row r="46" spans="1:18" x14ac:dyDescent="0.35">
      <c r="C46" s="17" t="s">
        <v>527</v>
      </c>
      <c r="D46" s="314" t="s">
        <v>646</v>
      </c>
      <c r="E46" s="296" t="s">
        <v>631</v>
      </c>
      <c r="F46" s="302" t="s">
        <v>631</v>
      </c>
      <c r="G46" s="287" t="s">
        <v>631</v>
      </c>
      <c r="H46" s="46" t="s">
        <v>638</v>
      </c>
      <c r="I46" s="284" t="s">
        <v>422</v>
      </c>
      <c r="J46" s="321" t="s">
        <v>638</v>
      </c>
      <c r="K46" s="324">
        <f t="shared" si="3"/>
        <v>0</v>
      </c>
      <c r="L46" s="328" t="str">
        <f t="shared" si="1"/>
        <v>N/A</v>
      </c>
      <c r="M46" s="346">
        <f t="shared" si="2"/>
        <v>0</v>
      </c>
      <c r="N46" s="344" t="str">
        <f t="shared" si="0"/>
        <v>N/A</v>
      </c>
      <c r="O46" s="284" t="s">
        <v>663</v>
      </c>
      <c r="P46" s="290"/>
      <c r="R46" s="303">
        <f t="shared" si="9"/>
        <v>0</v>
      </c>
    </row>
    <row r="47" spans="1:18" x14ac:dyDescent="0.35">
      <c r="C47" s="17" t="s">
        <v>527</v>
      </c>
      <c r="D47" s="314" t="s">
        <v>647</v>
      </c>
      <c r="E47" s="296" t="s">
        <v>631</v>
      </c>
      <c r="F47" s="302" t="s">
        <v>631</v>
      </c>
      <c r="G47" s="287" t="s">
        <v>631</v>
      </c>
      <c r="H47" s="46" t="s">
        <v>638</v>
      </c>
      <c r="I47" s="284" t="s">
        <v>422</v>
      </c>
      <c r="J47" s="321" t="s">
        <v>638</v>
      </c>
      <c r="K47" s="324">
        <f t="shared" si="3"/>
        <v>0</v>
      </c>
      <c r="L47" s="328" t="str">
        <f t="shared" si="1"/>
        <v>N/A</v>
      </c>
      <c r="M47" s="346">
        <f t="shared" si="2"/>
        <v>0</v>
      </c>
      <c r="N47" s="344" t="str">
        <f t="shared" si="0"/>
        <v>N/A</v>
      </c>
      <c r="O47" s="284" t="s">
        <v>663</v>
      </c>
      <c r="P47" s="290"/>
      <c r="R47" s="303">
        <f t="shared" si="9"/>
        <v>0</v>
      </c>
    </row>
    <row r="48" spans="1:18" x14ac:dyDescent="0.35">
      <c r="A48" s="17" t="s">
        <v>657</v>
      </c>
      <c r="B48" s="17" t="s">
        <v>333</v>
      </c>
      <c r="C48" s="17" t="s">
        <v>527</v>
      </c>
      <c r="D48" s="314" t="s">
        <v>648</v>
      </c>
      <c r="E48" s="292">
        <f>INDEX('2022 CONG 2022 Actual'!$F$9:$CD$300, MATCH('Other Cong. Direction'!A48, '2022 CONG 2022 Actual'!$A$9:$A$300, 0), MATCH('Other Cong. Direction'!B48, '2022 CONG 2022 Actual'!$F$4:$CD$4, 0))</f>
        <v>19.579999999999998</v>
      </c>
      <c r="F48" s="301">
        <f>IFERROR(INDEX('2022 CONG 2022 CP'!$F$8:$CG$300, MATCH('Other Cong. Direction'!A48, '2022 CONG 2022 CP'!$A$8:$A$300, 0), MATCH('Other Cong. Direction'!B48, '2022 CONG 2022 CP'!$F$3:$CG$3, 0)), 0)</f>
        <v>19.579999999999998</v>
      </c>
      <c r="G48" s="286">
        <f>IFERROR(INDEX('2024 OMB 2023 Req.'!$F$8:$CG$300, MATCH('Other Cong. Direction'!A48, '2024 OMB 2023 Req.'!$A$8:$A$300, 0), MATCH('Other Cong. Direction'!B48, '2024 OMB 2023 Req.'!$F$3:$CG$3, 0)), 0)</f>
        <v>20.68</v>
      </c>
      <c r="H48" s="287">
        <f>G48</f>
        <v>20.68</v>
      </c>
      <c r="I48" s="284" t="s">
        <v>422</v>
      </c>
      <c r="J48" s="319">
        <f>H48</f>
        <v>20.68</v>
      </c>
      <c r="K48" s="324">
        <f t="shared" si="3"/>
        <v>1.1000000000000014</v>
      </c>
      <c r="L48" s="328">
        <f t="shared" si="1"/>
        <v>5.6179775280898951E-2</v>
      </c>
      <c r="M48" s="346">
        <f t="shared" si="2"/>
        <v>1.1000000000000014</v>
      </c>
      <c r="N48" s="344">
        <f t="shared" si="0"/>
        <v>5.6179775280898951E-2</v>
      </c>
      <c r="O48" s="284" t="s">
        <v>663</v>
      </c>
      <c r="P48" s="290" t="s">
        <v>649</v>
      </c>
      <c r="Q48" s="17" t="s">
        <v>659</v>
      </c>
      <c r="R48" s="303" t="str">
        <f t="shared" si="9"/>
        <v>Fully funds the request</v>
      </c>
    </row>
    <row r="49" spans="3:18" x14ac:dyDescent="0.35">
      <c r="C49" s="17" t="s">
        <v>527</v>
      </c>
      <c r="D49" s="314" t="s">
        <v>650</v>
      </c>
      <c r="E49" s="296" t="s">
        <v>631</v>
      </c>
      <c r="F49" s="302" t="s">
        <v>631</v>
      </c>
      <c r="G49" s="287" t="s">
        <v>631</v>
      </c>
      <c r="H49" s="46" t="s">
        <v>638</v>
      </c>
      <c r="I49" s="284" t="s">
        <v>422</v>
      </c>
      <c r="J49" s="321" t="str">
        <f>H49</f>
        <v>Unspecified</v>
      </c>
      <c r="K49" s="324">
        <f t="shared" si="3"/>
        <v>0</v>
      </c>
      <c r="L49" s="328" t="str">
        <f t="shared" si="1"/>
        <v>N/A</v>
      </c>
      <c r="M49" s="346">
        <f t="shared" si="2"/>
        <v>0</v>
      </c>
      <c r="N49" s="344" t="str">
        <f t="shared" si="0"/>
        <v>N/A</v>
      </c>
      <c r="O49" s="284" t="s">
        <v>663</v>
      </c>
      <c r="P49" s="290"/>
      <c r="R49" s="303">
        <f t="shared" si="9"/>
        <v>0</v>
      </c>
    </row>
    <row r="50" spans="3:18" x14ac:dyDescent="0.35">
      <c r="C50" s="17" t="s">
        <v>527</v>
      </c>
      <c r="D50" s="314" t="s">
        <v>651</v>
      </c>
      <c r="E50" s="296" t="s">
        <v>631</v>
      </c>
      <c r="F50" s="302" t="s">
        <v>631</v>
      </c>
      <c r="G50" s="287" t="s">
        <v>631</v>
      </c>
      <c r="H50" s="46" t="s">
        <v>638</v>
      </c>
      <c r="I50" s="284" t="s">
        <v>422</v>
      </c>
      <c r="J50" s="321" t="str">
        <f>H50</f>
        <v>Unspecified</v>
      </c>
      <c r="K50" s="324">
        <f t="shared" si="3"/>
        <v>0</v>
      </c>
      <c r="L50" s="328" t="str">
        <f t="shared" si="1"/>
        <v>N/A</v>
      </c>
      <c r="M50" s="346">
        <f t="shared" si="2"/>
        <v>0</v>
      </c>
      <c r="N50" s="344" t="str">
        <f t="shared" si="0"/>
        <v>N/A</v>
      </c>
      <c r="O50" s="284" t="s">
        <v>663</v>
      </c>
      <c r="P50" s="290"/>
      <c r="R50" s="303">
        <f t="shared" si="9"/>
        <v>0</v>
      </c>
    </row>
    <row r="51" spans="3:18" x14ac:dyDescent="0.35">
      <c r="C51" s="17" t="s">
        <v>527</v>
      </c>
      <c r="D51" s="314" t="s">
        <v>652</v>
      </c>
      <c r="E51" s="296" t="s">
        <v>631</v>
      </c>
      <c r="F51" s="302" t="s">
        <v>631</v>
      </c>
      <c r="G51" s="287" t="s">
        <v>631</v>
      </c>
      <c r="H51" s="46" t="s">
        <v>638</v>
      </c>
      <c r="I51" s="284" t="s">
        <v>422</v>
      </c>
      <c r="J51" s="321" t="str">
        <f t="shared" ref="J51:J53" si="10">H51</f>
        <v>Unspecified</v>
      </c>
      <c r="K51" s="324">
        <f t="shared" si="3"/>
        <v>0</v>
      </c>
      <c r="L51" s="328" t="str">
        <f t="shared" si="1"/>
        <v>N/A</v>
      </c>
      <c r="M51" s="346">
        <f t="shared" si="2"/>
        <v>0</v>
      </c>
      <c r="N51" s="344" t="str">
        <f t="shared" si="0"/>
        <v>N/A</v>
      </c>
      <c r="O51" s="284" t="s">
        <v>663</v>
      </c>
      <c r="P51" s="290"/>
      <c r="R51" s="303">
        <f t="shared" si="9"/>
        <v>0</v>
      </c>
    </row>
    <row r="52" spans="3:18" x14ac:dyDescent="0.35">
      <c r="C52" s="17" t="s">
        <v>527</v>
      </c>
      <c r="D52" s="314" t="s">
        <v>653</v>
      </c>
      <c r="E52" s="296" t="s">
        <v>631</v>
      </c>
      <c r="F52" s="302" t="s">
        <v>631</v>
      </c>
      <c r="G52" s="287" t="s">
        <v>631</v>
      </c>
      <c r="H52" s="46" t="s">
        <v>638</v>
      </c>
      <c r="I52" s="284" t="s">
        <v>422</v>
      </c>
      <c r="J52" s="321" t="str">
        <f t="shared" si="10"/>
        <v>Unspecified</v>
      </c>
      <c r="K52" s="324">
        <f t="shared" si="3"/>
        <v>0</v>
      </c>
      <c r="L52" s="328" t="str">
        <f t="shared" si="1"/>
        <v>N/A</v>
      </c>
      <c r="M52" s="346">
        <f t="shared" si="2"/>
        <v>0</v>
      </c>
      <c r="N52" s="344" t="str">
        <f t="shared" si="0"/>
        <v>N/A</v>
      </c>
      <c r="O52" s="284" t="s">
        <v>663</v>
      </c>
      <c r="P52" s="290"/>
      <c r="R52" s="303">
        <f t="shared" si="9"/>
        <v>0</v>
      </c>
    </row>
    <row r="53" spans="3:18" x14ac:dyDescent="0.35">
      <c r="C53" s="17" t="s">
        <v>31</v>
      </c>
      <c r="D53" s="314" t="s">
        <v>654</v>
      </c>
      <c r="E53" s="296" t="s">
        <v>631</v>
      </c>
      <c r="F53" s="302" t="s">
        <v>631</v>
      </c>
      <c r="G53" s="287" t="s">
        <v>631</v>
      </c>
      <c r="H53" s="46" t="s">
        <v>638</v>
      </c>
      <c r="I53" s="284" t="s">
        <v>422</v>
      </c>
      <c r="J53" s="322" t="str">
        <f t="shared" si="10"/>
        <v>Unspecified</v>
      </c>
      <c r="K53" s="324">
        <f t="shared" si="3"/>
        <v>0</v>
      </c>
      <c r="L53" s="328" t="str">
        <f t="shared" si="1"/>
        <v>N/A</v>
      </c>
      <c r="M53" s="346">
        <f t="shared" si="2"/>
        <v>0</v>
      </c>
      <c r="N53" s="344" t="str">
        <f t="shared" si="0"/>
        <v>N/A</v>
      </c>
      <c r="O53" s="284" t="s">
        <v>663</v>
      </c>
      <c r="P53" s="290"/>
      <c r="R53" s="303">
        <f t="shared" si="9"/>
        <v>0</v>
      </c>
    </row>
    <row r="54" spans="3:18" ht="15.6" thickBot="1" x14ac:dyDescent="0.4">
      <c r="C54" s="305" t="s">
        <v>24</v>
      </c>
      <c r="D54" s="317" t="s">
        <v>24</v>
      </c>
      <c r="E54" s="306"/>
      <c r="F54" s="307"/>
      <c r="G54" s="308"/>
      <c r="H54" s="307"/>
      <c r="I54" s="307"/>
      <c r="J54" s="309"/>
      <c r="K54" s="348">
        <f>SUM(K6:K53)</f>
        <v>262.58000000000004</v>
      </c>
      <c r="L54" s="349"/>
      <c r="M54" s="347">
        <f>SUM(M6:M53)</f>
        <v>281.87790899999999</v>
      </c>
      <c r="N54" s="345"/>
      <c r="O54" s="350"/>
      <c r="P54" s="310"/>
      <c r="Q54" s="311"/>
      <c r="R54" s="311"/>
    </row>
    <row r="55" spans="3:18" x14ac:dyDescent="0.35">
      <c r="C55" s="1" t="s">
        <v>668</v>
      </c>
      <c r="P55" s="290"/>
    </row>
    <row r="56" spans="3:18" x14ac:dyDescent="0.35">
      <c r="C56" s="1" t="s">
        <v>669</v>
      </c>
      <c r="P56" s="290"/>
    </row>
    <row r="57" spans="3:18" x14ac:dyDescent="0.35">
      <c r="C57" s="229" t="s">
        <v>682</v>
      </c>
      <c r="P57" s="290"/>
    </row>
    <row r="58" spans="3:18" x14ac:dyDescent="0.35">
      <c r="C58" s="1" t="s">
        <v>671</v>
      </c>
      <c r="P58" s="290"/>
    </row>
    <row r="59" spans="3:18" x14ac:dyDescent="0.35">
      <c r="C59" s="1" t="s">
        <v>670</v>
      </c>
      <c r="P59" s="290"/>
    </row>
    <row r="60" spans="3:18" x14ac:dyDescent="0.35">
      <c r="C60" s="351"/>
      <c r="P60" s="290"/>
    </row>
    <row r="61" spans="3:18" x14ac:dyDescent="0.35">
      <c r="P61" s="290"/>
    </row>
    <row r="62" spans="3:18" x14ac:dyDescent="0.35">
      <c r="J62" s="282" t="s">
        <v>672</v>
      </c>
      <c r="K62" s="289">
        <f>K7</f>
        <v>145</v>
      </c>
      <c r="P62" s="290"/>
    </row>
    <row r="63" spans="3:18" x14ac:dyDescent="0.35">
      <c r="J63" s="282" t="s">
        <v>14</v>
      </c>
      <c r="K63" s="289">
        <f>K16</f>
        <v>30</v>
      </c>
      <c r="P63" s="290"/>
    </row>
    <row r="64" spans="3:18" x14ac:dyDescent="0.35">
      <c r="J64" s="282" t="s">
        <v>673</v>
      </c>
      <c r="K64" s="289">
        <f>K19</f>
        <v>30</v>
      </c>
      <c r="P64" s="290"/>
    </row>
    <row r="65" spans="10:16" x14ac:dyDescent="0.35">
      <c r="J65" s="282" t="s">
        <v>388</v>
      </c>
      <c r="K65" s="289">
        <f>K17</f>
        <v>35</v>
      </c>
      <c r="P65" s="290"/>
    </row>
    <row r="66" spans="10:16" x14ac:dyDescent="0.35">
      <c r="J66" s="290" t="s">
        <v>674</v>
      </c>
      <c r="K66" s="329">
        <f>K54-SUM(K62:K65)</f>
        <v>22.580000000000041</v>
      </c>
      <c r="L66" s="290" t="s">
        <v>804</v>
      </c>
      <c r="P66" s="290"/>
    </row>
    <row r="67" spans="10:16" x14ac:dyDescent="0.35">
      <c r="P67" s="290"/>
    </row>
    <row r="68" spans="10:16" x14ac:dyDescent="0.35">
      <c r="J68" s="284" t="s">
        <v>648</v>
      </c>
      <c r="K68" s="289" t="s">
        <v>808</v>
      </c>
      <c r="L68" s="290" t="s">
        <v>809</v>
      </c>
      <c r="P68" s="290"/>
    </row>
    <row r="69" spans="10:16" x14ac:dyDescent="0.35">
      <c r="J69" s="284" t="s">
        <v>802</v>
      </c>
      <c r="K69" s="289" t="s">
        <v>806</v>
      </c>
      <c r="L69" s="290" t="s">
        <v>812</v>
      </c>
      <c r="P69" s="290"/>
    </row>
    <row r="70" spans="10:16" x14ac:dyDescent="0.35">
      <c r="J70" s="284" t="s">
        <v>801</v>
      </c>
      <c r="K70" s="289" t="s">
        <v>807</v>
      </c>
      <c r="L70" s="290" t="s">
        <v>809</v>
      </c>
      <c r="P70" s="290"/>
    </row>
    <row r="71" spans="10:16" x14ac:dyDescent="0.35">
      <c r="J71" s="284" t="s">
        <v>390</v>
      </c>
      <c r="K71" s="289" t="s">
        <v>813</v>
      </c>
      <c r="L71" s="290" t="s">
        <v>812</v>
      </c>
      <c r="P71" s="290"/>
    </row>
    <row r="72" spans="10:16" x14ac:dyDescent="0.35">
      <c r="J72" s="284" t="s">
        <v>531</v>
      </c>
      <c r="K72" s="289" t="s">
        <v>803</v>
      </c>
      <c r="L72" s="290" t="s">
        <v>810</v>
      </c>
      <c r="P72" s="290"/>
    </row>
    <row r="73" spans="10:16" x14ac:dyDescent="0.35">
      <c r="K73" s="488">
        <f>SUM(K68:K72)</f>
        <v>0</v>
      </c>
      <c r="L73" s="290" t="s">
        <v>811</v>
      </c>
      <c r="P73" s="290"/>
    </row>
    <row r="74" spans="10:16" x14ac:dyDescent="0.35">
      <c r="P74" s="290"/>
    </row>
    <row r="75" spans="10:16" x14ac:dyDescent="0.35">
      <c r="P75" s="290"/>
    </row>
    <row r="76" spans="10:16" x14ac:dyDescent="0.35">
      <c r="P76" s="290"/>
    </row>
    <row r="77" spans="10:16" x14ac:dyDescent="0.35">
      <c r="P77" s="290"/>
    </row>
    <row r="78" spans="10:16" x14ac:dyDescent="0.35">
      <c r="P78" s="290"/>
    </row>
    <row r="79" spans="10:16" x14ac:dyDescent="0.35">
      <c r="P79" s="290"/>
    </row>
    <row r="80" spans="10:16" x14ac:dyDescent="0.35">
      <c r="P80" s="290"/>
    </row>
    <row r="81" spans="16:16" x14ac:dyDescent="0.35">
      <c r="P81" s="290"/>
    </row>
    <row r="82" spans="16:16" x14ac:dyDescent="0.35">
      <c r="P82" s="290"/>
    </row>
    <row r="83" spans="16:16" x14ac:dyDescent="0.35">
      <c r="P83" s="290"/>
    </row>
    <row r="84" spans="16:16" x14ac:dyDescent="0.35">
      <c r="P84" s="290"/>
    </row>
    <row r="85" spans="16:16" x14ac:dyDescent="0.35">
      <c r="P85" s="290"/>
    </row>
    <row r="86" spans="16:16" x14ac:dyDescent="0.35">
      <c r="P86" s="290"/>
    </row>
    <row r="87" spans="16:16" x14ac:dyDescent="0.35">
      <c r="P87" s="290"/>
    </row>
    <row r="88" spans="16:16" x14ac:dyDescent="0.35">
      <c r="P88" s="290"/>
    </row>
    <row r="89" spans="16:16" x14ac:dyDescent="0.35">
      <c r="P89" s="290"/>
    </row>
    <row r="90" spans="16:16" x14ac:dyDescent="0.35">
      <c r="P90" s="290"/>
    </row>
    <row r="91" spans="16:16" x14ac:dyDescent="0.35">
      <c r="P91" s="290"/>
    </row>
    <row r="92" spans="16:16" x14ac:dyDescent="0.35">
      <c r="P92" s="290"/>
    </row>
    <row r="93" spans="16:16" x14ac:dyDescent="0.35">
      <c r="P93" s="290"/>
    </row>
    <row r="94" spans="16:16" x14ac:dyDescent="0.35">
      <c r="P94" s="290"/>
    </row>
    <row r="95" spans="16:16" x14ac:dyDescent="0.35">
      <c r="P95" s="290"/>
    </row>
    <row r="96" spans="16:16" x14ac:dyDescent="0.35">
      <c r="P96" s="290"/>
    </row>
    <row r="97" spans="16:16" x14ac:dyDescent="0.35">
      <c r="P97" s="290"/>
    </row>
    <row r="98" spans="16:16" x14ac:dyDescent="0.35">
      <c r="P98" s="290"/>
    </row>
    <row r="99" spans="16:16" x14ac:dyDescent="0.35">
      <c r="P99" s="290"/>
    </row>
    <row r="100" spans="16:16" x14ac:dyDescent="0.35">
      <c r="P100" s="290"/>
    </row>
    <row r="101" spans="16:16" x14ac:dyDescent="0.35">
      <c r="P101" s="290"/>
    </row>
    <row r="102" spans="16:16" x14ac:dyDescent="0.35">
      <c r="P102" s="290"/>
    </row>
    <row r="103" spans="16:16" x14ac:dyDescent="0.35">
      <c r="P103" s="290"/>
    </row>
    <row r="104" spans="16:16" x14ac:dyDescent="0.35">
      <c r="P104" s="290"/>
    </row>
    <row r="105" spans="16:16" x14ac:dyDescent="0.35">
      <c r="P105" s="290"/>
    </row>
    <row r="106" spans="16:16" x14ac:dyDescent="0.35">
      <c r="P106" s="290"/>
    </row>
    <row r="107" spans="16:16" x14ac:dyDescent="0.35">
      <c r="P107" s="290"/>
    </row>
    <row r="108" spans="16:16" x14ac:dyDescent="0.35">
      <c r="P108" s="290"/>
    </row>
    <row r="109" spans="16:16" x14ac:dyDescent="0.35">
      <c r="P109" s="290"/>
    </row>
    <row r="110" spans="16:16" x14ac:dyDescent="0.35">
      <c r="P110" s="290"/>
    </row>
    <row r="111" spans="16:16" x14ac:dyDescent="0.35">
      <c r="P111" s="290"/>
    </row>
    <row r="112" spans="16:16" x14ac:dyDescent="0.35">
      <c r="P112" s="290"/>
    </row>
    <row r="113" spans="16:16" x14ac:dyDescent="0.35">
      <c r="P113" s="290"/>
    </row>
    <row r="114" spans="16:16" x14ac:dyDescent="0.35">
      <c r="P114" s="290"/>
    </row>
    <row r="115" spans="16:16" x14ac:dyDescent="0.35">
      <c r="P115" s="290"/>
    </row>
    <row r="116" spans="16:16" x14ac:dyDescent="0.35">
      <c r="P116" s="290"/>
    </row>
    <row r="117" spans="16:16" x14ac:dyDescent="0.35">
      <c r="P117" s="290"/>
    </row>
    <row r="118" spans="16:16" x14ac:dyDescent="0.35">
      <c r="P118" s="290"/>
    </row>
    <row r="119" spans="16:16" x14ac:dyDescent="0.35">
      <c r="P119" s="290"/>
    </row>
    <row r="120" spans="16:16" x14ac:dyDescent="0.35">
      <c r="P120" s="290"/>
    </row>
    <row r="121" spans="16:16" x14ac:dyDescent="0.35">
      <c r="P121" s="290"/>
    </row>
    <row r="122" spans="16:16" x14ac:dyDescent="0.35">
      <c r="P122" s="290"/>
    </row>
    <row r="123" spans="16:16" x14ac:dyDescent="0.35">
      <c r="P123" s="290"/>
    </row>
    <row r="124" spans="16:16" x14ac:dyDescent="0.35">
      <c r="P124" s="290"/>
    </row>
    <row r="125" spans="16:16" x14ac:dyDescent="0.35">
      <c r="P125" s="290"/>
    </row>
    <row r="126" spans="16:16" x14ac:dyDescent="0.35">
      <c r="P126" s="290"/>
    </row>
    <row r="127" spans="16:16" x14ac:dyDescent="0.35">
      <c r="P127" s="290"/>
    </row>
    <row r="128" spans="16:16" x14ac:dyDescent="0.35">
      <c r="P128" s="290"/>
    </row>
    <row r="129" spans="16:16" x14ac:dyDescent="0.35">
      <c r="P129" s="290"/>
    </row>
    <row r="130" spans="16:16" x14ac:dyDescent="0.35">
      <c r="P130" s="290"/>
    </row>
    <row r="131" spans="16:16" x14ac:dyDescent="0.35">
      <c r="P131" s="290"/>
    </row>
    <row r="132" spans="16:16" x14ac:dyDescent="0.35">
      <c r="P132" s="290"/>
    </row>
    <row r="133" spans="16:16" x14ac:dyDescent="0.35">
      <c r="P133" s="290"/>
    </row>
    <row r="134" spans="16:16" x14ac:dyDescent="0.35">
      <c r="P134" s="290"/>
    </row>
    <row r="135" spans="16:16" x14ac:dyDescent="0.35">
      <c r="P135" s="290"/>
    </row>
    <row r="136" spans="16:16" x14ac:dyDescent="0.35">
      <c r="P136" s="290"/>
    </row>
    <row r="137" spans="16:16" x14ac:dyDescent="0.35">
      <c r="P137" s="290"/>
    </row>
    <row r="138" spans="16:16" x14ac:dyDescent="0.35">
      <c r="P138" s="290"/>
    </row>
    <row r="139" spans="16:16" x14ac:dyDescent="0.35">
      <c r="P139" s="290"/>
    </row>
    <row r="140" spans="16:16" x14ac:dyDescent="0.35">
      <c r="P140" s="290"/>
    </row>
    <row r="141" spans="16:16" x14ac:dyDescent="0.35">
      <c r="P141" s="290"/>
    </row>
    <row r="142" spans="16:16" x14ac:dyDescent="0.35">
      <c r="P142" s="290"/>
    </row>
    <row r="143" spans="16:16" x14ac:dyDescent="0.35">
      <c r="P143" s="290"/>
    </row>
    <row r="144" spans="16:16" x14ac:dyDescent="0.35">
      <c r="P144" s="290"/>
    </row>
    <row r="145" spans="16:16" x14ac:dyDescent="0.35">
      <c r="P145" s="290"/>
    </row>
    <row r="146" spans="16:16" x14ac:dyDescent="0.35">
      <c r="P146" s="290"/>
    </row>
    <row r="147" spans="16:16" x14ac:dyDescent="0.35">
      <c r="P147" s="290"/>
    </row>
    <row r="148" spans="16:16" x14ac:dyDescent="0.35">
      <c r="P148" s="290"/>
    </row>
    <row r="149" spans="16:16" x14ac:dyDescent="0.35">
      <c r="P149" s="290"/>
    </row>
    <row r="150" spans="16:16" x14ac:dyDescent="0.35">
      <c r="P150" s="290"/>
    </row>
    <row r="151" spans="16:16" x14ac:dyDescent="0.35">
      <c r="P151" s="290"/>
    </row>
    <row r="152" spans="16:16" x14ac:dyDescent="0.35">
      <c r="P152" s="290"/>
    </row>
    <row r="153" spans="16:16" x14ac:dyDescent="0.35">
      <c r="P153" s="290"/>
    </row>
    <row r="154" spans="16:16" x14ac:dyDescent="0.35">
      <c r="P154" s="290"/>
    </row>
    <row r="155" spans="16:16" x14ac:dyDescent="0.35">
      <c r="P155" s="290"/>
    </row>
    <row r="156" spans="16:16" x14ac:dyDescent="0.35">
      <c r="P156" s="290"/>
    </row>
    <row r="157" spans="16:16" x14ac:dyDescent="0.35">
      <c r="P157" s="290"/>
    </row>
    <row r="158" spans="16:16" x14ac:dyDescent="0.35">
      <c r="P158" s="290"/>
    </row>
    <row r="159" spans="16:16" x14ac:dyDescent="0.35">
      <c r="P159" s="290"/>
    </row>
    <row r="160" spans="16:16" x14ac:dyDescent="0.35">
      <c r="P160" s="290"/>
    </row>
    <row r="161" spans="16:16" x14ac:dyDescent="0.35">
      <c r="P161" s="290"/>
    </row>
    <row r="162" spans="16:16" x14ac:dyDescent="0.35">
      <c r="P162" s="290"/>
    </row>
    <row r="163" spans="16:16" x14ac:dyDescent="0.35">
      <c r="P163" s="290"/>
    </row>
    <row r="164" spans="16:16" x14ac:dyDescent="0.35">
      <c r="P164" s="290"/>
    </row>
    <row r="165" spans="16:16" x14ac:dyDescent="0.35">
      <c r="P165" s="290"/>
    </row>
    <row r="166" spans="16:16" x14ac:dyDescent="0.35">
      <c r="P166" s="290"/>
    </row>
    <row r="167" spans="16:16" x14ac:dyDescent="0.35">
      <c r="P167" s="290"/>
    </row>
    <row r="168" spans="16:16" x14ac:dyDescent="0.35">
      <c r="P168" s="290"/>
    </row>
    <row r="169" spans="16:16" x14ac:dyDescent="0.35">
      <c r="P169" s="290"/>
    </row>
    <row r="170" spans="16:16" x14ac:dyDescent="0.35">
      <c r="P170" s="290"/>
    </row>
    <row r="171" spans="16:16" x14ac:dyDescent="0.35">
      <c r="P171" s="290"/>
    </row>
    <row r="172" spans="16:16" x14ac:dyDescent="0.35">
      <c r="P172" s="290"/>
    </row>
    <row r="173" spans="16:16" x14ac:dyDescent="0.35">
      <c r="P173" s="290"/>
    </row>
    <row r="174" spans="16:16" x14ac:dyDescent="0.35">
      <c r="P174" s="290"/>
    </row>
    <row r="175" spans="16:16" x14ac:dyDescent="0.35">
      <c r="P175" s="290"/>
    </row>
    <row r="176" spans="16:16" x14ac:dyDescent="0.35">
      <c r="P176" s="290"/>
    </row>
    <row r="177" spans="16:16" x14ac:dyDescent="0.35">
      <c r="P177" s="290"/>
    </row>
    <row r="178" spans="16:16" x14ac:dyDescent="0.35">
      <c r="P178" s="290"/>
    </row>
    <row r="179" spans="16:16" x14ac:dyDescent="0.35">
      <c r="P179" s="290"/>
    </row>
    <row r="180" spans="16:16" x14ac:dyDescent="0.35">
      <c r="P180" s="290"/>
    </row>
    <row r="181" spans="16:16" x14ac:dyDescent="0.35">
      <c r="P181" s="290"/>
    </row>
    <row r="182" spans="16:16" x14ac:dyDescent="0.35">
      <c r="P182" s="290"/>
    </row>
    <row r="183" spans="16:16" x14ac:dyDescent="0.35">
      <c r="P183" s="290"/>
    </row>
  </sheetData>
  <mergeCells count="15">
    <mergeCell ref="C2:R2"/>
    <mergeCell ref="C1:R1"/>
    <mergeCell ref="J3:J5"/>
    <mergeCell ref="O3:O5"/>
    <mergeCell ref="R3:R5"/>
    <mergeCell ref="K4:L4"/>
    <mergeCell ref="Q3:Q5"/>
    <mergeCell ref="P3:P5"/>
    <mergeCell ref="E3:E5"/>
    <mergeCell ref="F3:F5"/>
    <mergeCell ref="G3:G5"/>
    <mergeCell ref="I3:I5"/>
    <mergeCell ref="H3:H5"/>
    <mergeCell ref="K3:N3"/>
    <mergeCell ref="M4:N4"/>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1FC5-6BC7-4FE1-9840-CAC9C672702B}">
  <sheetPr>
    <tabColor theme="7" tint="0.79998168889431442"/>
  </sheetPr>
  <dimension ref="A1:N42"/>
  <sheetViews>
    <sheetView showGridLines="0" zoomScaleNormal="100" workbookViewId="0">
      <selection activeCell="C25" sqref="C25"/>
    </sheetView>
  </sheetViews>
  <sheetFormatPr defaultColWidth="11.6640625" defaultRowHeight="13.2" x14ac:dyDescent="0.3"/>
  <cols>
    <col min="1" max="1" width="61.44140625" style="1" customWidth="1"/>
    <col min="2" max="2" width="11.6640625" style="1" customWidth="1"/>
    <col min="3" max="3" width="9.33203125" style="1" customWidth="1"/>
    <col min="4" max="4" width="11.6640625" style="1" customWidth="1"/>
    <col min="5" max="6" width="12.6640625" style="1" customWidth="1"/>
    <col min="7" max="16384" width="11.6640625" style="1"/>
  </cols>
  <sheetData>
    <row r="1" spans="1:14" ht="15" customHeight="1" thickBot="1" x14ac:dyDescent="0.35">
      <c r="A1" s="13"/>
    </row>
    <row r="2" spans="1:14" x14ac:dyDescent="0.3">
      <c r="A2" s="13"/>
      <c r="B2" s="796" t="s">
        <v>372</v>
      </c>
      <c r="C2" s="794" t="s">
        <v>26</v>
      </c>
      <c r="D2" s="793" t="s">
        <v>702</v>
      </c>
      <c r="E2" s="793"/>
      <c r="F2" s="793"/>
      <c r="G2" s="793"/>
      <c r="H2" s="793"/>
    </row>
    <row r="3" spans="1:14" ht="14.4" x14ac:dyDescent="0.3">
      <c r="A3" s="14"/>
      <c r="B3" s="797"/>
      <c r="C3" s="795"/>
      <c r="D3" s="35" t="s">
        <v>698</v>
      </c>
      <c r="E3" s="35" t="s">
        <v>704</v>
      </c>
      <c r="F3" s="380" t="s">
        <v>699</v>
      </c>
      <c r="G3" s="35" t="s">
        <v>700</v>
      </c>
      <c r="H3" s="35" t="s">
        <v>701</v>
      </c>
      <c r="I3" s="365"/>
    </row>
    <row r="4" spans="1:14" ht="14.4" x14ac:dyDescent="0.3">
      <c r="A4" s="369" t="s">
        <v>703</v>
      </c>
      <c r="B4" s="370">
        <v>2</v>
      </c>
      <c r="C4" s="370">
        <v>3</v>
      </c>
      <c r="D4" s="370">
        <v>1.5</v>
      </c>
      <c r="E4" s="370">
        <v>2</v>
      </c>
      <c r="F4" s="371">
        <v>2</v>
      </c>
      <c r="G4" s="370">
        <v>2</v>
      </c>
      <c r="H4" s="370">
        <v>2</v>
      </c>
      <c r="I4" s="365"/>
    </row>
    <row r="5" spans="1:14" ht="14.4" x14ac:dyDescent="0.3">
      <c r="A5" t="s">
        <v>683</v>
      </c>
      <c r="B5" s="376">
        <v>1.5</v>
      </c>
      <c r="C5" s="376">
        <v>2.5</v>
      </c>
      <c r="D5" s="366">
        <v>0.5</v>
      </c>
      <c r="E5" s="366">
        <v>2</v>
      </c>
      <c r="F5" s="372">
        <v>3</v>
      </c>
      <c r="G5" s="366">
        <v>3</v>
      </c>
      <c r="H5" s="366">
        <v>3</v>
      </c>
      <c r="I5" s="365"/>
    </row>
    <row r="6" spans="1:14" ht="15.6" customHeight="1" thickBot="1" x14ac:dyDescent="0.35">
      <c r="A6" s="373" t="s">
        <v>550</v>
      </c>
      <c r="B6" s="377">
        <v>0</v>
      </c>
      <c r="C6" s="377">
        <v>0</v>
      </c>
      <c r="D6" s="374">
        <v>2</v>
      </c>
      <c r="E6" s="374">
        <v>3</v>
      </c>
      <c r="F6" s="375">
        <v>7</v>
      </c>
      <c r="G6" s="374">
        <v>10</v>
      </c>
      <c r="H6" s="374">
        <v>13</v>
      </c>
      <c r="I6" s="365"/>
    </row>
    <row r="7" spans="1:14" ht="15.6" customHeight="1" thickBot="1" x14ac:dyDescent="0.35">
      <c r="A7" s="378" t="s">
        <v>705</v>
      </c>
      <c r="B7" s="379">
        <f>SUM(B4:B6)</f>
        <v>3.5</v>
      </c>
      <c r="C7" s="379">
        <f t="shared" ref="C7:H7" si="0">SUM(C4:C6)</f>
        <v>5.5</v>
      </c>
      <c r="D7" s="379">
        <f t="shared" si="0"/>
        <v>4</v>
      </c>
      <c r="E7" s="379">
        <f t="shared" si="0"/>
        <v>7</v>
      </c>
      <c r="F7" s="381">
        <f t="shared" si="0"/>
        <v>12</v>
      </c>
      <c r="G7" s="379">
        <f t="shared" si="0"/>
        <v>15</v>
      </c>
      <c r="H7" s="379">
        <f t="shared" si="0"/>
        <v>18</v>
      </c>
      <c r="I7" s="365"/>
    </row>
    <row r="8" spans="1:14" ht="15.6" customHeight="1" x14ac:dyDescent="0.3">
      <c r="A8"/>
      <c r="B8" s="367"/>
      <c r="C8" s="368"/>
      <c r="D8" s="366"/>
      <c r="E8" s="366"/>
      <c r="F8" s="366"/>
      <c r="G8" s="366"/>
      <c r="H8" s="366"/>
      <c r="I8" s="365"/>
    </row>
    <row r="9" spans="1:14" s="17" customFormat="1" ht="15.6" customHeight="1" x14ac:dyDescent="0.35">
      <c r="A9" s="384" t="s">
        <v>721</v>
      </c>
      <c r="B9" s="385"/>
      <c r="C9" s="386"/>
      <c r="D9" s="387"/>
      <c r="E9" s="387"/>
      <c r="F9" s="387"/>
      <c r="G9" s="387"/>
      <c r="H9" s="387"/>
      <c r="I9" s="388"/>
    </row>
    <row r="10" spans="1:14" s="389" customFormat="1" ht="13.8" x14ac:dyDescent="0.3">
      <c r="A10" s="399" t="s">
        <v>716</v>
      </c>
      <c r="B10" s="387"/>
      <c r="C10" s="390"/>
      <c r="D10" s="387"/>
      <c r="E10" s="390"/>
      <c r="F10" s="387"/>
      <c r="G10" s="390"/>
      <c r="H10" s="387"/>
      <c r="I10" s="390"/>
      <c r="J10" s="387"/>
      <c r="K10" s="388"/>
      <c r="L10" s="388"/>
      <c r="M10" s="388"/>
      <c r="N10" s="388"/>
    </row>
    <row r="11" spans="1:14" s="389" customFormat="1" ht="13.8" x14ac:dyDescent="0.3">
      <c r="A11" s="391" t="s">
        <v>717</v>
      </c>
      <c r="B11" s="387"/>
      <c r="C11" s="390"/>
      <c r="D11" s="387"/>
      <c r="E11" s="390"/>
      <c r="F11" s="387"/>
      <c r="G11" s="390"/>
      <c r="H11" s="387"/>
      <c r="I11" s="390"/>
      <c r="J11" s="387"/>
      <c r="K11" s="388"/>
      <c r="L11" s="388"/>
      <c r="M11" s="388"/>
      <c r="N11" s="388"/>
    </row>
    <row r="12" spans="1:14" s="389" customFormat="1" ht="13.8" x14ac:dyDescent="0.3">
      <c r="A12" s="391" t="s">
        <v>718</v>
      </c>
      <c r="B12" s="387"/>
      <c r="C12" s="390"/>
      <c r="D12" s="387"/>
      <c r="E12" s="390"/>
      <c r="F12" s="387"/>
      <c r="G12" s="390"/>
      <c r="H12" s="387"/>
      <c r="I12" s="390"/>
      <c r="J12" s="387"/>
      <c r="K12" s="388"/>
      <c r="L12" s="388"/>
      <c r="M12" s="388"/>
      <c r="N12" s="388"/>
    </row>
    <row r="13" spans="1:14" s="389" customFormat="1" ht="13.8" x14ac:dyDescent="0.3">
      <c r="A13" s="391"/>
      <c r="B13" s="387"/>
      <c r="C13" s="390"/>
      <c r="D13" s="387"/>
      <c r="E13" s="390"/>
      <c r="F13" s="387"/>
      <c r="G13" s="390"/>
      <c r="H13" s="387"/>
      <c r="I13" s="390"/>
      <c r="J13" s="387"/>
      <c r="K13" s="388"/>
      <c r="L13" s="388"/>
      <c r="M13" s="388"/>
      <c r="N13" s="388"/>
    </row>
    <row r="14" spans="1:14" s="389" customFormat="1" ht="13.8" x14ac:dyDescent="0.3">
      <c r="A14" s="400" t="s">
        <v>720</v>
      </c>
      <c r="B14" s="392"/>
      <c r="C14" s="393"/>
      <c r="D14" s="392"/>
      <c r="E14" s="393"/>
      <c r="F14" s="392"/>
      <c r="G14" s="393"/>
      <c r="H14" s="387"/>
      <c r="I14" s="390"/>
      <c r="J14" s="387"/>
      <c r="K14" s="388"/>
      <c r="L14" s="388"/>
      <c r="M14" s="388"/>
      <c r="N14" s="388"/>
    </row>
    <row r="15" spans="1:14" s="389" customFormat="1" ht="13.8" x14ac:dyDescent="0.3">
      <c r="A15" s="394" t="s">
        <v>717</v>
      </c>
      <c r="B15" s="392"/>
      <c r="C15" s="393"/>
      <c r="D15" s="392"/>
      <c r="E15" s="393"/>
      <c r="F15" s="392"/>
      <c r="G15" s="393"/>
      <c r="H15" s="387"/>
      <c r="I15" s="390"/>
      <c r="J15" s="387"/>
      <c r="K15" s="388"/>
      <c r="L15" s="388"/>
      <c r="M15" s="388"/>
      <c r="N15" s="388"/>
    </row>
    <row r="16" spans="1:14" s="389" customFormat="1" ht="13.8" x14ac:dyDescent="0.3">
      <c r="A16" s="394" t="s">
        <v>718</v>
      </c>
      <c r="B16" s="392"/>
      <c r="C16" s="393"/>
      <c r="D16" s="392"/>
      <c r="E16" s="393"/>
      <c r="F16" s="392"/>
      <c r="G16" s="393"/>
      <c r="H16" s="387"/>
      <c r="I16" s="390"/>
      <c r="J16" s="387"/>
      <c r="K16" s="388"/>
      <c r="L16" s="388"/>
      <c r="M16" s="388"/>
      <c r="N16" s="388"/>
    </row>
    <row r="17" spans="1:14" s="389" customFormat="1" ht="13.8" x14ac:dyDescent="0.3">
      <c r="A17" s="394" t="s">
        <v>719</v>
      </c>
      <c r="B17" s="392"/>
      <c r="C17" s="393"/>
      <c r="D17" s="392"/>
      <c r="E17" s="393"/>
      <c r="F17" s="392"/>
      <c r="G17" s="393"/>
      <c r="H17" s="387"/>
      <c r="I17" s="390"/>
      <c r="J17" s="387"/>
      <c r="K17" s="388"/>
      <c r="L17" s="388"/>
      <c r="M17" s="388"/>
      <c r="N17" s="388"/>
    </row>
    <row r="18" spans="1:14" ht="15.6" customHeight="1" x14ac:dyDescent="0.3">
      <c r="A18"/>
      <c r="B18" s="367"/>
      <c r="C18" s="368"/>
      <c r="D18" s="366"/>
      <c r="E18" s="366"/>
      <c r="F18" s="366"/>
      <c r="G18" s="366"/>
      <c r="H18" s="366"/>
      <c r="I18" s="365"/>
    </row>
    <row r="19" spans="1:14" s="17" customFormat="1" ht="17.100000000000001" customHeight="1" x14ac:dyDescent="0.35">
      <c r="A19" s="384" t="s">
        <v>722</v>
      </c>
      <c r="B19" s="395"/>
      <c r="C19" s="396"/>
      <c r="D19" s="395"/>
      <c r="E19" s="396"/>
      <c r="F19" s="395"/>
      <c r="G19" s="396"/>
      <c r="H19" s="395"/>
      <c r="I19" s="396"/>
      <c r="J19" s="395"/>
      <c r="K19" s="388"/>
    </row>
    <row r="20" spans="1:14" s="17" customFormat="1" ht="17.100000000000001" customHeight="1" x14ac:dyDescent="0.35">
      <c r="A20" s="399" t="s">
        <v>684</v>
      </c>
      <c r="B20" s="387"/>
      <c r="C20" s="387"/>
      <c r="D20" s="387"/>
      <c r="E20" s="387"/>
      <c r="F20" s="387"/>
      <c r="G20" s="387"/>
      <c r="H20" s="387"/>
      <c r="I20" s="387"/>
      <c r="J20" s="387"/>
      <c r="K20" s="388"/>
    </row>
    <row r="21" spans="1:14" s="17" customFormat="1" ht="15" x14ac:dyDescent="0.35">
      <c r="A21" s="391" t="s">
        <v>685</v>
      </c>
      <c r="B21" s="387"/>
      <c r="C21" s="387"/>
      <c r="D21" s="387"/>
      <c r="E21" s="387"/>
      <c r="F21" s="387"/>
      <c r="G21" s="387"/>
      <c r="H21" s="387"/>
      <c r="I21" s="387"/>
      <c r="J21" s="387"/>
      <c r="K21" s="388"/>
    </row>
    <row r="22" spans="1:14" s="17" customFormat="1" ht="15" x14ac:dyDescent="0.35">
      <c r="A22" s="391" t="s">
        <v>686</v>
      </c>
      <c r="B22" s="387"/>
      <c r="C22" s="387"/>
      <c r="D22" s="387"/>
      <c r="E22" s="387"/>
      <c r="F22" s="387"/>
      <c r="G22" s="387"/>
      <c r="H22" s="387"/>
      <c r="I22" s="387"/>
      <c r="J22" s="387"/>
      <c r="K22" s="388"/>
    </row>
    <row r="23" spans="1:14" s="17" customFormat="1" ht="15" x14ac:dyDescent="0.35">
      <c r="A23" s="389"/>
      <c r="B23" s="387"/>
      <c r="C23" s="387"/>
      <c r="D23" s="387"/>
      <c r="E23" s="387"/>
      <c r="F23" s="387"/>
      <c r="G23" s="387"/>
      <c r="H23" s="387"/>
      <c r="I23" s="387"/>
      <c r="J23" s="387"/>
      <c r="K23" s="388"/>
    </row>
    <row r="24" spans="1:14" s="17" customFormat="1" ht="15" x14ac:dyDescent="0.35">
      <c r="A24" s="399" t="s">
        <v>687</v>
      </c>
      <c r="B24" s="387"/>
      <c r="C24" s="387"/>
      <c r="D24" s="387"/>
      <c r="E24" s="387"/>
      <c r="F24" s="387"/>
      <c r="G24" s="387"/>
      <c r="H24" s="387"/>
      <c r="I24" s="387"/>
      <c r="J24" s="387"/>
      <c r="K24" s="388"/>
    </row>
    <row r="25" spans="1:14" s="17" customFormat="1" ht="15" x14ac:dyDescent="0.35">
      <c r="A25" s="391" t="s">
        <v>723</v>
      </c>
      <c r="B25" s="387"/>
      <c r="C25" s="387"/>
      <c r="D25" s="387"/>
      <c r="E25" s="387"/>
      <c r="F25" s="387"/>
      <c r="G25" s="387"/>
      <c r="H25" s="387"/>
      <c r="I25" s="387"/>
      <c r="J25" s="387"/>
      <c r="K25" s="388"/>
    </row>
    <row r="26" spans="1:14" s="17" customFormat="1" ht="15" x14ac:dyDescent="0.35">
      <c r="A26" s="391" t="s">
        <v>688</v>
      </c>
      <c r="B26" s="387"/>
      <c r="C26" s="387"/>
      <c r="D26" s="387"/>
      <c r="E26" s="387"/>
      <c r="F26" s="387"/>
      <c r="G26" s="387"/>
      <c r="H26" s="387"/>
      <c r="I26" s="387"/>
      <c r="J26" s="387"/>
      <c r="K26" s="388"/>
    </row>
    <row r="27" spans="1:14" s="17" customFormat="1" ht="15" x14ac:dyDescent="0.35">
      <c r="A27" s="389"/>
      <c r="B27" s="387"/>
      <c r="C27" s="387"/>
      <c r="D27" s="387"/>
      <c r="E27" s="387"/>
      <c r="F27" s="387"/>
      <c r="G27" s="387"/>
      <c r="H27" s="387"/>
      <c r="I27" s="387"/>
      <c r="J27" s="387"/>
      <c r="K27" s="388"/>
    </row>
    <row r="28" spans="1:14" s="17" customFormat="1" ht="15" x14ac:dyDescent="0.35">
      <c r="A28" s="400" t="s">
        <v>725</v>
      </c>
      <c r="B28" s="392"/>
      <c r="C28" s="392"/>
      <c r="D28" s="392"/>
      <c r="E28" s="392"/>
      <c r="F28" s="392"/>
      <c r="G28" s="387"/>
      <c r="H28" s="387"/>
      <c r="I28" s="387"/>
      <c r="J28" s="387"/>
      <c r="K28" s="388"/>
    </row>
    <row r="29" spans="1:14" s="17" customFormat="1" ht="14.85" customHeight="1" x14ac:dyDescent="0.35">
      <c r="A29" s="394" t="s">
        <v>724</v>
      </c>
      <c r="B29" s="392"/>
      <c r="C29" s="392"/>
      <c r="D29" s="392"/>
      <c r="E29" s="392"/>
      <c r="F29" s="392"/>
      <c r="G29" s="387"/>
      <c r="H29" s="387"/>
      <c r="I29" s="387"/>
      <c r="J29" s="387"/>
      <c r="K29" s="388"/>
    </row>
    <row r="30" spans="1:14" s="17" customFormat="1" ht="15" x14ac:dyDescent="0.35">
      <c r="A30" s="394" t="s">
        <v>689</v>
      </c>
      <c r="B30" s="392"/>
      <c r="C30" s="392"/>
      <c r="D30" s="392"/>
      <c r="E30" s="392"/>
      <c r="F30" s="392"/>
      <c r="G30" s="387"/>
      <c r="H30" s="387"/>
      <c r="I30" s="387"/>
      <c r="J30" s="387"/>
      <c r="K30" s="388"/>
    </row>
    <row r="31" spans="1:14" s="17" customFormat="1" ht="15" x14ac:dyDescent="0.35">
      <c r="A31" s="389"/>
      <c r="B31" s="387"/>
      <c r="C31" s="387"/>
      <c r="D31" s="387"/>
      <c r="E31" s="387"/>
      <c r="F31" s="387"/>
      <c r="G31" s="387"/>
      <c r="H31" s="387"/>
      <c r="I31" s="387"/>
      <c r="J31" s="387"/>
      <c r="K31" s="388"/>
    </row>
    <row r="32" spans="1:14" s="17" customFormat="1" ht="15" x14ac:dyDescent="0.35">
      <c r="A32" s="399" t="s">
        <v>690</v>
      </c>
      <c r="B32" s="387"/>
      <c r="C32" s="387"/>
      <c r="D32" s="387"/>
      <c r="E32" s="387"/>
      <c r="F32" s="387"/>
      <c r="G32" s="387"/>
      <c r="H32" s="387"/>
      <c r="I32" s="387"/>
      <c r="J32" s="387"/>
      <c r="K32" s="388"/>
    </row>
    <row r="33" spans="1:11" s="17" customFormat="1" ht="15" x14ac:dyDescent="0.35">
      <c r="A33" s="397" t="s">
        <v>691</v>
      </c>
      <c r="B33" s="387"/>
      <c r="C33" s="387"/>
      <c r="D33" s="387"/>
      <c r="E33" s="387"/>
      <c r="F33" s="387"/>
      <c r="G33" s="387"/>
      <c r="H33" s="387"/>
      <c r="I33" s="387"/>
      <c r="J33" s="387"/>
      <c r="K33" s="388"/>
    </row>
    <row r="34" spans="1:11" s="17" customFormat="1" ht="15" x14ac:dyDescent="0.35">
      <c r="A34" s="398" t="s">
        <v>692</v>
      </c>
      <c r="B34" s="387"/>
      <c r="C34" s="387"/>
      <c r="D34" s="387"/>
      <c r="E34" s="387"/>
      <c r="F34" s="387"/>
      <c r="G34" s="387"/>
      <c r="H34" s="387"/>
      <c r="I34" s="387"/>
      <c r="J34" s="387"/>
      <c r="K34" s="388"/>
    </row>
    <row r="35" spans="1:11" s="17" customFormat="1" ht="15" x14ac:dyDescent="0.35">
      <c r="A35" s="391" t="s">
        <v>693</v>
      </c>
      <c r="B35" s="387"/>
      <c r="C35" s="387"/>
      <c r="D35" s="387"/>
      <c r="E35" s="387"/>
      <c r="F35" s="387"/>
      <c r="G35" s="387"/>
      <c r="H35" s="387"/>
      <c r="I35" s="387"/>
      <c r="J35" s="387"/>
      <c r="K35" s="388"/>
    </row>
    <row r="36" spans="1:11" s="17" customFormat="1" ht="15" x14ac:dyDescent="0.35">
      <c r="A36" s="391" t="s">
        <v>689</v>
      </c>
      <c r="B36" s="387"/>
      <c r="C36" s="387"/>
      <c r="D36" s="387"/>
      <c r="E36" s="387"/>
      <c r="F36" s="387"/>
      <c r="G36" s="387"/>
      <c r="H36" s="387"/>
      <c r="I36" s="387"/>
      <c r="J36" s="387"/>
      <c r="K36" s="388"/>
    </row>
    <row r="37" spans="1:11" s="17" customFormat="1" ht="15" x14ac:dyDescent="0.35">
      <c r="A37" s="389"/>
      <c r="B37" s="387"/>
      <c r="C37" s="387"/>
      <c r="D37" s="387"/>
      <c r="E37" s="387"/>
      <c r="F37" s="387"/>
      <c r="G37" s="387"/>
      <c r="H37" s="387"/>
      <c r="I37" s="387"/>
      <c r="J37" s="387"/>
      <c r="K37" s="388"/>
    </row>
    <row r="38" spans="1:11" s="17" customFormat="1" ht="15" x14ac:dyDescent="0.35">
      <c r="A38" s="399" t="s">
        <v>694</v>
      </c>
      <c r="B38" s="387"/>
      <c r="C38" s="387"/>
      <c r="D38" s="387"/>
      <c r="E38" s="387"/>
      <c r="F38" s="387"/>
      <c r="G38" s="387"/>
      <c r="H38" s="387"/>
      <c r="I38" s="387"/>
      <c r="J38" s="387"/>
      <c r="K38" s="388"/>
    </row>
    <row r="39" spans="1:11" s="17" customFormat="1" ht="15" x14ac:dyDescent="0.35">
      <c r="A39" s="391" t="s">
        <v>695</v>
      </c>
      <c r="B39" s="387"/>
      <c r="C39" s="387"/>
      <c r="D39" s="387"/>
      <c r="E39" s="387"/>
      <c r="F39" s="387"/>
      <c r="G39" s="387"/>
      <c r="H39" s="387"/>
      <c r="I39" s="387"/>
      <c r="J39" s="387"/>
      <c r="K39" s="388"/>
    </row>
    <row r="40" spans="1:11" s="17" customFormat="1" ht="15" x14ac:dyDescent="0.35">
      <c r="A40" s="391" t="s">
        <v>696</v>
      </c>
      <c r="B40" s="387"/>
      <c r="C40" s="387"/>
      <c r="D40" s="387"/>
      <c r="E40" s="387"/>
      <c r="F40" s="387"/>
      <c r="G40" s="387"/>
      <c r="H40" s="387"/>
      <c r="I40" s="387"/>
      <c r="J40" s="387"/>
      <c r="K40" s="388"/>
    </row>
    <row r="41" spans="1:11" s="17" customFormat="1" ht="15" x14ac:dyDescent="0.35">
      <c r="A41" s="391" t="s">
        <v>697</v>
      </c>
      <c r="B41" s="387"/>
      <c r="C41" s="387"/>
      <c r="D41" s="387"/>
      <c r="E41" s="387"/>
      <c r="F41" s="387"/>
      <c r="G41" s="387"/>
      <c r="H41" s="387"/>
      <c r="I41" s="387"/>
      <c r="J41" s="387"/>
      <c r="K41" s="388"/>
    </row>
    <row r="42" spans="1:11" s="17" customFormat="1" ht="15" x14ac:dyDescent="0.35">
      <c r="A42" s="391" t="s">
        <v>689</v>
      </c>
      <c r="B42" s="387"/>
      <c r="C42" s="387"/>
      <c r="D42" s="387"/>
      <c r="E42" s="387"/>
      <c r="F42" s="387"/>
      <c r="G42" s="387"/>
      <c r="H42" s="387"/>
      <c r="I42" s="387"/>
      <c r="J42" s="387"/>
      <c r="K42" s="388"/>
    </row>
  </sheetData>
  <mergeCells count="3">
    <mergeCell ref="D2:H2"/>
    <mergeCell ref="C2:C3"/>
    <mergeCell ref="B2:B3"/>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391CF-B32D-44EF-8CDF-2016B6BCE368}">
  <sheetPr>
    <tabColor theme="7" tint="0.79998168889431442"/>
  </sheetPr>
  <dimension ref="B1:K12"/>
  <sheetViews>
    <sheetView showGridLines="0" topLeftCell="B1" zoomScale="140" zoomScaleNormal="140" workbookViewId="0">
      <selection activeCell="I15" sqref="I15"/>
    </sheetView>
  </sheetViews>
  <sheetFormatPr defaultColWidth="9.33203125" defaultRowHeight="15" x14ac:dyDescent="0.35"/>
  <cols>
    <col min="1" max="1" width="3.5546875" style="17" customWidth="1"/>
    <col min="2" max="2" width="12.5546875" style="17" customWidth="1"/>
    <col min="3" max="3" width="40.6640625" style="17" customWidth="1"/>
    <col min="4" max="9" width="12.6640625" style="17" customWidth="1"/>
    <col min="10" max="11" width="13.33203125" style="17" customWidth="1"/>
    <col min="12" max="16384" width="9.33203125" style="17"/>
  </cols>
  <sheetData>
    <row r="1" spans="2:11" ht="21" x14ac:dyDescent="0.5">
      <c r="B1" s="243" t="s">
        <v>558</v>
      </c>
      <c r="C1" s="46"/>
      <c r="D1" s="210"/>
    </row>
    <row r="2" spans="2:11" ht="15.6" thickBot="1" x14ac:dyDescent="0.4">
      <c r="C2" s="46"/>
      <c r="D2" s="210"/>
    </row>
    <row r="3" spans="2:11" ht="16.5" customHeight="1" x14ac:dyDescent="0.35">
      <c r="B3" s="813" t="s">
        <v>559</v>
      </c>
      <c r="C3" s="753" t="s">
        <v>552</v>
      </c>
      <c r="D3" s="808" t="s">
        <v>556</v>
      </c>
      <c r="E3" s="816" t="s">
        <v>555</v>
      </c>
      <c r="F3" s="816" t="s">
        <v>551</v>
      </c>
      <c r="G3" s="805" t="s">
        <v>554</v>
      </c>
      <c r="H3" s="802" t="s">
        <v>553</v>
      </c>
      <c r="I3" s="803"/>
      <c r="J3" s="803"/>
      <c r="K3" s="803"/>
    </row>
    <row r="4" spans="2:11" x14ac:dyDescent="0.35">
      <c r="B4" s="814"/>
      <c r="C4" s="811"/>
      <c r="D4" s="809"/>
      <c r="E4" s="817"/>
      <c r="F4" s="800"/>
      <c r="G4" s="806"/>
      <c r="H4" s="798" t="s">
        <v>556</v>
      </c>
      <c r="I4" s="800" t="s">
        <v>555</v>
      </c>
      <c r="J4" s="800" t="s">
        <v>551</v>
      </c>
      <c r="K4" s="804" t="s">
        <v>554</v>
      </c>
    </row>
    <row r="5" spans="2:11" x14ac:dyDescent="0.35">
      <c r="B5" s="815"/>
      <c r="C5" s="812"/>
      <c r="D5" s="810"/>
      <c r="E5" s="801"/>
      <c r="F5" s="818"/>
      <c r="G5" s="807"/>
      <c r="H5" s="799"/>
      <c r="I5" s="801"/>
      <c r="J5" s="801"/>
      <c r="K5" s="801"/>
    </row>
    <row r="6" spans="2:11" ht="16.350000000000001" customHeight="1" x14ac:dyDescent="0.35">
      <c r="B6" s="244" t="s">
        <v>560</v>
      </c>
      <c r="C6" s="245" t="s">
        <v>561</v>
      </c>
      <c r="D6" s="246">
        <v>34000</v>
      </c>
      <c r="E6" s="247">
        <v>12000</v>
      </c>
      <c r="F6" s="248">
        <v>2100</v>
      </c>
      <c r="G6" s="249">
        <v>290</v>
      </c>
      <c r="H6" s="250"/>
      <c r="I6" s="251"/>
      <c r="J6" s="251"/>
      <c r="K6" s="251"/>
    </row>
    <row r="7" spans="2:11" s="230" customFormat="1" ht="16.350000000000001" customHeight="1" x14ac:dyDescent="0.3">
      <c r="B7" s="252">
        <v>1</v>
      </c>
      <c r="C7" s="233" t="s">
        <v>566</v>
      </c>
      <c r="D7" s="234">
        <v>37000</v>
      </c>
      <c r="E7" s="235">
        <v>12000</v>
      </c>
      <c r="F7" s="256">
        <v>2750</v>
      </c>
      <c r="G7" s="241">
        <v>334.49</v>
      </c>
      <c r="H7" s="234">
        <v>3000</v>
      </c>
      <c r="I7" s="235">
        <v>0</v>
      </c>
      <c r="J7" s="237">
        <f>F7-2100</f>
        <v>650</v>
      </c>
      <c r="K7" s="239">
        <f>G7-290</f>
        <v>44.490000000000009</v>
      </c>
    </row>
    <row r="8" spans="2:11" s="230" customFormat="1" ht="16.350000000000001" customHeight="1" x14ac:dyDescent="0.3">
      <c r="B8" s="253">
        <v>2</v>
      </c>
      <c r="C8" s="233" t="s">
        <v>562</v>
      </c>
      <c r="D8" s="234">
        <v>37000</v>
      </c>
      <c r="E8" s="235">
        <v>12000</v>
      </c>
      <c r="F8" s="401">
        <v>2500</v>
      </c>
      <c r="G8" s="241">
        <v>326.57</v>
      </c>
      <c r="H8" s="234">
        <v>3000</v>
      </c>
      <c r="I8" s="235">
        <v>0</v>
      </c>
      <c r="J8" s="237">
        <f>F8-2100</f>
        <v>400</v>
      </c>
      <c r="K8" s="402">
        <f>G8-290</f>
        <v>36.569999999999993</v>
      </c>
    </row>
    <row r="9" spans="2:11" s="230" customFormat="1" ht="16.350000000000001" customHeight="1" x14ac:dyDescent="0.3">
      <c r="B9" s="253">
        <v>3</v>
      </c>
      <c r="C9" s="233" t="s">
        <v>563</v>
      </c>
      <c r="D9" s="234">
        <v>37000</v>
      </c>
      <c r="E9" s="235">
        <v>12000</v>
      </c>
      <c r="F9" s="256">
        <v>2100</v>
      </c>
      <c r="G9" s="241">
        <v>306.12</v>
      </c>
      <c r="H9" s="234">
        <v>3000</v>
      </c>
      <c r="I9" s="235">
        <v>0</v>
      </c>
      <c r="J9" s="237">
        <f>F9-2100</f>
        <v>0</v>
      </c>
      <c r="K9" s="239">
        <f>G9-290</f>
        <v>16.120000000000005</v>
      </c>
    </row>
    <row r="10" spans="2:11" s="230" customFormat="1" ht="16.350000000000001" customHeight="1" x14ac:dyDescent="0.3">
      <c r="B10" s="253">
        <v>4</v>
      </c>
      <c r="C10" s="254" t="s">
        <v>564</v>
      </c>
      <c r="D10" s="234">
        <v>37000</v>
      </c>
      <c r="E10" s="235">
        <v>12000</v>
      </c>
      <c r="F10" s="256">
        <v>2000</v>
      </c>
      <c r="G10" s="241">
        <v>302</v>
      </c>
      <c r="H10" s="234">
        <v>3000</v>
      </c>
      <c r="I10" s="235">
        <v>0</v>
      </c>
      <c r="J10" s="237">
        <f>F10-2100</f>
        <v>-100</v>
      </c>
      <c r="K10" s="239">
        <f>G10-290</f>
        <v>12</v>
      </c>
    </row>
    <row r="11" spans="2:11" s="230" customFormat="1" ht="16.350000000000001" customHeight="1" thickBot="1" x14ac:dyDescent="0.35">
      <c r="B11" s="255">
        <v>5</v>
      </c>
      <c r="C11" s="231" t="s">
        <v>565</v>
      </c>
      <c r="D11" s="232">
        <v>37000</v>
      </c>
      <c r="E11" s="236">
        <v>12000</v>
      </c>
      <c r="F11" s="257">
        <v>1800</v>
      </c>
      <c r="G11" s="242">
        <v>290</v>
      </c>
      <c r="H11" s="232">
        <v>3000</v>
      </c>
      <c r="I11" s="236">
        <v>0</v>
      </c>
      <c r="J11" s="238">
        <f>F11-2100</f>
        <v>-300</v>
      </c>
      <c r="K11" s="240">
        <f>G11-290</f>
        <v>0</v>
      </c>
    </row>
    <row r="12" spans="2:11" x14ac:dyDescent="0.35">
      <c r="B12" s="17" t="s">
        <v>557</v>
      </c>
    </row>
  </sheetData>
  <mergeCells count="11">
    <mergeCell ref="G3:G5"/>
    <mergeCell ref="D3:D5"/>
    <mergeCell ref="C3:C5"/>
    <mergeCell ref="B3:B5"/>
    <mergeCell ref="E3:E5"/>
    <mergeCell ref="F3:F5"/>
    <mergeCell ref="H4:H5"/>
    <mergeCell ref="I4:I5"/>
    <mergeCell ref="J4:J5"/>
    <mergeCell ref="H3:K3"/>
    <mergeCell ref="K4:K5"/>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A1DF-2A38-408F-802D-334CEE76A69C}">
  <sheetPr>
    <tabColor theme="7" tint="0.79998168889431442"/>
  </sheetPr>
  <dimension ref="A1:K35"/>
  <sheetViews>
    <sheetView showGridLines="0" topLeftCell="A11" zoomScale="120" zoomScaleNormal="120" workbookViewId="0">
      <selection activeCell="Q37" sqref="Q37"/>
    </sheetView>
  </sheetViews>
  <sheetFormatPr defaultColWidth="8.6640625" defaultRowHeight="13.2" outlineLevelRow="1" x14ac:dyDescent="0.3"/>
  <cols>
    <col min="1" max="1" width="2.33203125" style="1" customWidth="1"/>
    <col min="2" max="2" width="14" style="1" customWidth="1"/>
    <col min="3" max="6" width="10.5546875" style="1" customWidth="1"/>
    <col min="7" max="16384" width="8.6640625" style="1"/>
  </cols>
  <sheetData>
    <row r="1" spans="2:10" ht="15" x14ac:dyDescent="0.35">
      <c r="B1" s="83" t="s">
        <v>675</v>
      </c>
    </row>
    <row r="3" spans="2:10" ht="15" outlineLevel="1" x14ac:dyDescent="0.35">
      <c r="B3" s="66" t="s">
        <v>676</v>
      </c>
    </row>
    <row r="4" spans="2:10" outlineLevel="1" x14ac:dyDescent="0.3">
      <c r="B4" s="1" t="s">
        <v>479</v>
      </c>
    </row>
    <row r="5" spans="2:10" outlineLevel="1" x14ac:dyDescent="0.3">
      <c r="B5" s="1" t="s">
        <v>502</v>
      </c>
    </row>
    <row r="6" spans="2:10" outlineLevel="1" x14ac:dyDescent="0.3">
      <c r="B6" s="1" t="s">
        <v>481</v>
      </c>
    </row>
    <row r="7" spans="2:10" outlineLevel="1" x14ac:dyDescent="0.3">
      <c r="B7" s="1" t="s">
        <v>506</v>
      </c>
    </row>
    <row r="8" spans="2:10" outlineLevel="1" x14ac:dyDescent="0.3"/>
    <row r="9" spans="2:10" ht="30" customHeight="1" outlineLevel="1" x14ac:dyDescent="0.35">
      <c r="B9" s="829" t="s">
        <v>495</v>
      </c>
      <c r="C9" s="829"/>
      <c r="D9" s="829"/>
      <c r="E9" s="829"/>
      <c r="F9" s="829"/>
      <c r="G9" s="829"/>
      <c r="H9" s="829"/>
      <c r="I9" s="829"/>
      <c r="J9" s="829"/>
    </row>
    <row r="10" spans="2:10" outlineLevel="1" x14ac:dyDescent="0.3"/>
    <row r="11" spans="2:10" outlineLevel="1" x14ac:dyDescent="0.3"/>
    <row r="12" spans="2:10" ht="13.8" outlineLevel="1" thickBot="1" x14ac:dyDescent="0.35">
      <c r="B12" s="178" t="s">
        <v>480</v>
      </c>
    </row>
    <row r="13" spans="2:10" ht="15.6" customHeight="1" outlineLevel="1" x14ac:dyDescent="0.3">
      <c r="B13" s="13"/>
      <c r="C13" s="819" t="s">
        <v>364</v>
      </c>
      <c r="D13" s="819" t="s">
        <v>471</v>
      </c>
      <c r="E13" s="819" t="s">
        <v>25</v>
      </c>
      <c r="F13" s="822" t="s">
        <v>482</v>
      </c>
      <c r="G13" s="825" t="s">
        <v>483</v>
      </c>
      <c r="H13" s="826"/>
      <c r="I13" s="826"/>
      <c r="J13" s="826"/>
    </row>
    <row r="14" spans="2:10" outlineLevel="1" x14ac:dyDescent="0.3">
      <c r="C14" s="820"/>
      <c r="D14" s="820"/>
      <c r="E14" s="820"/>
      <c r="F14" s="823"/>
      <c r="G14" s="827" t="s">
        <v>375</v>
      </c>
      <c r="H14" s="828"/>
      <c r="I14" s="827" t="s">
        <v>372</v>
      </c>
      <c r="J14" s="828"/>
    </row>
    <row r="15" spans="2:10" outlineLevel="1" x14ac:dyDescent="0.3">
      <c r="B15" s="14"/>
      <c r="C15" s="821"/>
      <c r="D15" s="821"/>
      <c r="E15" s="821"/>
      <c r="F15" s="824"/>
      <c r="G15" s="34" t="s">
        <v>377</v>
      </c>
      <c r="H15" s="35" t="s">
        <v>378</v>
      </c>
      <c r="I15" s="34" t="s">
        <v>377</v>
      </c>
      <c r="J15" s="35" t="s">
        <v>378</v>
      </c>
    </row>
    <row r="16" spans="2:10" outlineLevel="1" x14ac:dyDescent="0.3">
      <c r="B16" s="152" t="s">
        <v>478</v>
      </c>
      <c r="C16" s="176">
        <f>'+4% Scenario'!$D$31</f>
        <v>400</v>
      </c>
      <c r="D16" s="176">
        <f>E16-C16</f>
        <v>24.899999999999977</v>
      </c>
      <c r="E16" s="176">
        <f>'+4% Scenario'!$P$31</f>
        <v>424.9</v>
      </c>
      <c r="F16" s="204">
        <v>430</v>
      </c>
      <c r="G16" s="179">
        <f>F16-C16</f>
        <v>30</v>
      </c>
      <c r="H16" s="181">
        <f>IFERROR(G16/C16, "N/A")</f>
        <v>7.4999999999999997E-2</v>
      </c>
      <c r="I16" s="179">
        <f>F16-E16</f>
        <v>5.1000000000000227</v>
      </c>
      <c r="J16" s="181">
        <f>IFERROR(I16/E16, "N/A")</f>
        <v>1.2002824193928037E-2</v>
      </c>
    </row>
    <row r="17" spans="1:11" ht="13.8" outlineLevel="1" thickBot="1" x14ac:dyDescent="0.35">
      <c r="B17" s="175" t="s">
        <v>470</v>
      </c>
      <c r="C17" s="177" t="s">
        <v>422</v>
      </c>
      <c r="D17" s="177" t="s">
        <v>422</v>
      </c>
      <c r="E17" s="177">
        <v>1400</v>
      </c>
      <c r="F17" s="205">
        <v>1400</v>
      </c>
      <c r="G17" s="180" t="s">
        <v>422</v>
      </c>
      <c r="H17" s="182" t="str">
        <f>IFERROR(G17/C17, "N/A")</f>
        <v>N/A</v>
      </c>
      <c r="I17" s="180">
        <f>F17-E17</f>
        <v>0</v>
      </c>
      <c r="J17" s="182">
        <f>IFERROR(I17/E17, "N/A")</f>
        <v>0</v>
      </c>
    </row>
    <row r="18" spans="1:11" outlineLevel="1" x14ac:dyDescent="0.3"/>
    <row r="19" spans="1:11" outlineLevel="1" x14ac:dyDescent="0.3">
      <c r="B19" s="1" t="s">
        <v>472</v>
      </c>
    </row>
    <row r="20" spans="1:11" outlineLevel="1" x14ac:dyDescent="0.3">
      <c r="B20" s="152" t="s">
        <v>476</v>
      </c>
    </row>
    <row r="21" spans="1:11" outlineLevel="1" x14ac:dyDescent="0.3">
      <c r="B21" s="152" t="s">
        <v>473</v>
      </c>
    </row>
    <row r="22" spans="1:11" outlineLevel="1" x14ac:dyDescent="0.3">
      <c r="B22" s="152" t="s">
        <v>474</v>
      </c>
    </row>
    <row r="23" spans="1:11" ht="13.8" outlineLevel="1" thickBot="1" x14ac:dyDescent="0.35">
      <c r="A23" s="183"/>
      <c r="B23" s="183"/>
      <c r="C23" s="183"/>
      <c r="D23" s="183"/>
      <c r="E23" s="183"/>
      <c r="F23" s="183"/>
      <c r="G23" s="183"/>
      <c r="H23" s="183"/>
      <c r="I23" s="183"/>
      <c r="J23" s="183"/>
      <c r="K23" s="183"/>
    </row>
    <row r="24" spans="1:11" outlineLevel="1" x14ac:dyDescent="0.3"/>
    <row r="25" spans="1:11" ht="13.8" outlineLevel="1" thickBot="1" x14ac:dyDescent="0.35">
      <c r="B25" s="178" t="s">
        <v>477</v>
      </c>
    </row>
    <row r="26" spans="1:11" ht="14.85" customHeight="1" outlineLevel="1" x14ac:dyDescent="0.3">
      <c r="B26" s="13"/>
      <c r="C26" s="819" t="s">
        <v>364</v>
      </c>
      <c r="D26" s="819" t="s">
        <v>471</v>
      </c>
      <c r="E26" s="819" t="s">
        <v>25</v>
      </c>
      <c r="F26" s="822" t="s">
        <v>482</v>
      </c>
      <c r="G26" s="825" t="s">
        <v>483</v>
      </c>
      <c r="H26" s="826"/>
      <c r="I26" s="826"/>
      <c r="J26" s="826"/>
    </row>
    <row r="27" spans="1:11" outlineLevel="1" x14ac:dyDescent="0.3">
      <c r="C27" s="820"/>
      <c r="D27" s="820"/>
      <c r="E27" s="820"/>
      <c r="F27" s="823"/>
      <c r="G27" s="827" t="s">
        <v>375</v>
      </c>
      <c r="H27" s="828"/>
      <c r="I27" s="827" t="s">
        <v>372</v>
      </c>
      <c r="J27" s="828"/>
    </row>
    <row r="28" spans="1:11" outlineLevel="1" x14ac:dyDescent="0.3">
      <c r="B28" s="14"/>
      <c r="C28" s="821"/>
      <c r="D28" s="821"/>
      <c r="E28" s="821"/>
      <c r="F28" s="824"/>
      <c r="G28" s="34" t="s">
        <v>377</v>
      </c>
      <c r="H28" s="35" t="s">
        <v>378</v>
      </c>
      <c r="I28" s="34" t="s">
        <v>377</v>
      </c>
      <c r="J28" s="35" t="s">
        <v>378</v>
      </c>
    </row>
    <row r="29" spans="1:11" outlineLevel="1" x14ac:dyDescent="0.3">
      <c r="B29" s="152" t="s">
        <v>478</v>
      </c>
      <c r="C29" s="176">
        <f>'+4% Scenario'!$D$31</f>
        <v>400</v>
      </c>
      <c r="D29" s="176">
        <f>E29-C29</f>
        <v>24.899999999999977</v>
      </c>
      <c r="E29" s="176">
        <f>'+4% Scenario'!$P$31</f>
        <v>424.9</v>
      </c>
      <c r="F29" s="204">
        <v>450</v>
      </c>
      <c r="G29" s="179">
        <f>F29-C29</f>
        <v>50</v>
      </c>
      <c r="H29" s="181">
        <f>IFERROR(G29/C29, "N/A")</f>
        <v>0.125</v>
      </c>
      <c r="I29" s="179">
        <f>F29-E29</f>
        <v>25.100000000000023</v>
      </c>
      <c r="J29" s="181">
        <f>IFERROR(I29/E29, "N/A")</f>
        <v>5.9072722993645618E-2</v>
      </c>
    </row>
    <row r="30" spans="1:11" ht="13.8" outlineLevel="1" thickBot="1" x14ac:dyDescent="0.35">
      <c r="B30" s="175" t="s">
        <v>470</v>
      </c>
      <c r="C30" s="177" t="s">
        <v>422</v>
      </c>
      <c r="D30" s="177" t="s">
        <v>422</v>
      </c>
      <c r="E30" s="177">
        <v>1400</v>
      </c>
      <c r="F30" s="205">
        <v>1450</v>
      </c>
      <c r="G30" s="180" t="s">
        <v>422</v>
      </c>
      <c r="H30" s="182" t="str">
        <f>IFERROR(G30/C30, "N/A")</f>
        <v>N/A</v>
      </c>
      <c r="I30" s="180">
        <f>F30-E30</f>
        <v>50</v>
      </c>
      <c r="J30" s="182">
        <f>IFERROR(I30/E30, "N/A")</f>
        <v>3.5714285714285712E-2</v>
      </c>
    </row>
    <row r="31" spans="1:11" outlineLevel="1" x14ac:dyDescent="0.3"/>
    <row r="32" spans="1:11" outlineLevel="1" x14ac:dyDescent="0.3">
      <c r="B32" s="1" t="s">
        <v>475</v>
      </c>
    </row>
    <row r="33" spans="2:2" outlineLevel="1" x14ac:dyDescent="0.3">
      <c r="B33" s="152" t="s">
        <v>567</v>
      </c>
    </row>
    <row r="34" spans="2:2" outlineLevel="1" x14ac:dyDescent="0.3">
      <c r="B34" s="152" t="s">
        <v>473</v>
      </c>
    </row>
    <row r="35" spans="2:2" outlineLevel="1" x14ac:dyDescent="0.3">
      <c r="B35" s="152" t="s">
        <v>474</v>
      </c>
    </row>
  </sheetData>
  <mergeCells count="15">
    <mergeCell ref="B9:J9"/>
    <mergeCell ref="C13:C15"/>
    <mergeCell ref="D13:D15"/>
    <mergeCell ref="E13:E15"/>
    <mergeCell ref="F13:F15"/>
    <mergeCell ref="C26:C28"/>
    <mergeCell ref="D26:D28"/>
    <mergeCell ref="E26:E28"/>
    <mergeCell ref="F26:F28"/>
    <mergeCell ref="G13:J13"/>
    <mergeCell ref="G14:H14"/>
    <mergeCell ref="I14:J14"/>
    <mergeCell ref="G26:J26"/>
    <mergeCell ref="G27:H27"/>
    <mergeCell ref="I27:J27"/>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20254-0123-48FA-8BEF-D72893CF0A60}">
  <sheetPr>
    <tabColor rgb="FF92D050"/>
  </sheetPr>
  <dimension ref="A1:X100"/>
  <sheetViews>
    <sheetView showGridLines="0" tabSelected="1" topLeftCell="A40" zoomScale="80" zoomScaleNormal="80" workbookViewId="0">
      <selection activeCell="A46" sqref="A46:XFD46"/>
    </sheetView>
  </sheetViews>
  <sheetFormatPr defaultColWidth="8.6640625" defaultRowHeight="13.2" x14ac:dyDescent="0.3"/>
  <cols>
    <col min="1" max="1" width="13.5546875" style="1" customWidth="1"/>
    <col min="2" max="7" width="9.5546875" style="1" customWidth="1"/>
    <col min="8" max="9" width="11.44140625" style="1" customWidth="1"/>
    <col min="10" max="10" width="1.5546875" style="1" customWidth="1"/>
    <col min="11" max="11" width="13.5546875" style="1" customWidth="1" collapsed="1"/>
    <col min="12" max="12" width="11" style="1" customWidth="1"/>
    <col min="13" max="13" width="12.44140625" style="1" customWidth="1"/>
    <col min="14" max="14" width="10.44140625" style="1" customWidth="1"/>
    <col min="15" max="15" width="9.5546875" style="1" customWidth="1"/>
    <col min="16" max="16" width="11.44140625" style="1" customWidth="1"/>
    <col min="17" max="17" width="11.88671875" style="1" customWidth="1"/>
    <col min="18" max="19" width="9.5546875" style="1" customWidth="1"/>
    <col min="20" max="16384" width="8.6640625" style="1"/>
  </cols>
  <sheetData>
    <row r="1" spans="1:19" x14ac:dyDescent="0.3">
      <c r="A1" s="836"/>
      <c r="B1" s="836"/>
      <c r="C1" s="836"/>
      <c r="D1" s="836"/>
      <c r="E1" s="836"/>
      <c r="F1" s="836"/>
      <c r="G1" s="836"/>
      <c r="H1" s="836"/>
      <c r="I1" s="836"/>
      <c r="J1" s="836"/>
      <c r="K1" s="836"/>
      <c r="L1" s="836"/>
      <c r="M1" s="836"/>
      <c r="N1" s="836"/>
      <c r="O1" s="836"/>
      <c r="P1" s="836"/>
      <c r="Q1" s="836"/>
      <c r="R1" s="836"/>
      <c r="S1" s="836"/>
    </row>
    <row r="2" spans="1:19" x14ac:dyDescent="0.3">
      <c r="A2" s="836"/>
      <c r="B2" s="836"/>
      <c r="C2" s="836"/>
      <c r="D2" s="836"/>
      <c r="E2" s="836"/>
      <c r="F2" s="836"/>
      <c r="G2" s="836"/>
      <c r="H2" s="836"/>
      <c r="I2" s="836"/>
      <c r="J2" s="836"/>
      <c r="K2" s="836"/>
      <c r="L2" s="836"/>
      <c r="M2" s="836"/>
      <c r="N2" s="836"/>
      <c r="O2" s="836"/>
      <c r="P2" s="836"/>
      <c r="Q2" s="836"/>
      <c r="R2" s="836"/>
      <c r="S2" s="836"/>
    </row>
    <row r="3" spans="1:19" x14ac:dyDescent="0.3">
      <c r="A3" s="836"/>
      <c r="B3" s="836"/>
      <c r="C3" s="836"/>
      <c r="D3" s="836"/>
      <c r="E3" s="836"/>
      <c r="F3" s="836"/>
      <c r="G3" s="836"/>
      <c r="H3" s="836"/>
      <c r="I3" s="836"/>
      <c r="J3" s="836"/>
      <c r="K3" s="836"/>
      <c r="L3" s="836"/>
      <c r="M3" s="836"/>
      <c r="N3" s="836"/>
      <c r="O3" s="836"/>
      <c r="P3" s="836"/>
      <c r="Q3" s="836"/>
      <c r="R3" s="836"/>
      <c r="S3" s="836"/>
    </row>
    <row r="4" spans="1:19" x14ac:dyDescent="0.3">
      <c r="A4" s="828"/>
      <c r="B4" s="828"/>
      <c r="C4" s="828"/>
      <c r="D4" s="828"/>
      <c r="E4" s="828"/>
      <c r="F4" s="828"/>
      <c r="G4" s="828"/>
      <c r="H4" s="828"/>
      <c r="I4" s="828"/>
      <c r="J4" s="828"/>
      <c r="K4" s="828"/>
      <c r="L4" s="828"/>
      <c r="M4" s="828"/>
      <c r="N4" s="828"/>
      <c r="O4" s="828"/>
      <c r="P4" s="828"/>
      <c r="Q4" s="828"/>
      <c r="R4" s="828"/>
      <c r="S4" s="828"/>
    </row>
    <row r="5" spans="1:19" ht="13.8" thickBot="1" x14ac:dyDescent="0.35"/>
    <row r="6" spans="1:19" ht="30" customHeight="1" x14ac:dyDescent="0.3">
      <c r="A6" s="672"/>
      <c r="B6" s="840" t="s">
        <v>529</v>
      </c>
      <c r="C6" s="841"/>
      <c r="D6" s="841"/>
      <c r="E6" s="841"/>
      <c r="F6" s="841"/>
      <c r="G6" s="841"/>
      <c r="H6" s="841"/>
      <c r="I6" s="842"/>
      <c r="J6" s="675"/>
      <c r="K6" s="672"/>
      <c r="L6" s="840" t="s">
        <v>228</v>
      </c>
      <c r="M6" s="841"/>
      <c r="N6" s="841"/>
      <c r="O6" s="841"/>
      <c r="P6" s="841"/>
      <c r="Q6" s="841"/>
      <c r="R6" s="841"/>
      <c r="S6" s="842"/>
    </row>
    <row r="7" spans="1:19" ht="29.85" customHeight="1" x14ac:dyDescent="0.3">
      <c r="A7" s="673"/>
      <c r="B7" s="843" t="s">
        <v>969</v>
      </c>
      <c r="C7" s="845" t="s">
        <v>964</v>
      </c>
      <c r="D7" s="834" t="s">
        <v>960</v>
      </c>
      <c r="E7" s="834"/>
      <c r="F7" s="847" t="s">
        <v>963</v>
      </c>
      <c r="G7" s="849" t="s">
        <v>959</v>
      </c>
      <c r="H7" s="857" t="s">
        <v>968</v>
      </c>
      <c r="I7" s="858"/>
      <c r="J7" s="681"/>
      <c r="K7" s="673"/>
      <c r="L7" s="852" t="s">
        <v>969</v>
      </c>
      <c r="M7" s="845" t="s">
        <v>964</v>
      </c>
      <c r="N7" s="834" t="s">
        <v>960</v>
      </c>
      <c r="O7" s="834"/>
      <c r="P7" s="847" t="s">
        <v>963</v>
      </c>
      <c r="Q7" s="837" t="s">
        <v>959</v>
      </c>
      <c r="R7" s="857" t="s">
        <v>968</v>
      </c>
      <c r="S7" s="858"/>
    </row>
    <row r="8" spans="1:19" ht="14.85" customHeight="1" x14ac:dyDescent="0.3">
      <c r="A8" s="673"/>
      <c r="B8" s="843"/>
      <c r="C8" s="845"/>
      <c r="D8" s="851" t="s">
        <v>962</v>
      </c>
      <c r="E8" s="851" t="s">
        <v>967</v>
      </c>
      <c r="F8" s="847"/>
      <c r="G8" s="849"/>
      <c r="H8" s="859"/>
      <c r="I8" s="860"/>
      <c r="J8" s="681"/>
      <c r="K8" s="673"/>
      <c r="L8" s="853"/>
      <c r="M8" s="845"/>
      <c r="N8" s="851" t="s">
        <v>962</v>
      </c>
      <c r="O8" s="851" t="s">
        <v>967</v>
      </c>
      <c r="P8" s="847"/>
      <c r="Q8" s="838"/>
      <c r="R8" s="859"/>
      <c r="S8" s="860"/>
    </row>
    <row r="9" spans="1:19" ht="15" customHeight="1" x14ac:dyDescent="0.3">
      <c r="A9" s="674"/>
      <c r="B9" s="844"/>
      <c r="C9" s="846"/>
      <c r="D9" s="850"/>
      <c r="E9" s="850"/>
      <c r="F9" s="848"/>
      <c r="G9" s="850"/>
      <c r="H9" s="682" t="s">
        <v>377</v>
      </c>
      <c r="I9" s="683" t="s">
        <v>378</v>
      </c>
      <c r="J9" s="677"/>
      <c r="K9" s="674"/>
      <c r="L9" s="854"/>
      <c r="M9" s="846"/>
      <c r="N9" s="850"/>
      <c r="O9" s="850"/>
      <c r="P9" s="848"/>
      <c r="Q9" s="839"/>
      <c r="R9" s="682" t="s">
        <v>377</v>
      </c>
      <c r="S9" s="683" t="s">
        <v>378</v>
      </c>
    </row>
    <row r="10" spans="1:19" s="691" customFormat="1" ht="15" customHeight="1" x14ac:dyDescent="0.3">
      <c r="A10" s="684" t="s">
        <v>0</v>
      </c>
      <c r="B10" s="685">
        <v>7.16</v>
      </c>
      <c r="C10" s="686">
        <v>7.16</v>
      </c>
      <c r="D10" s="687">
        <v>0</v>
      </c>
      <c r="E10" s="687">
        <v>0</v>
      </c>
      <c r="F10" s="688">
        <f>SUM(C10:E10)</f>
        <v>7.16</v>
      </c>
      <c r="G10" s="685">
        <v>7.16</v>
      </c>
      <c r="H10" s="689">
        <f t="shared" ref="H10:H19" si="0">G10-(C10+D10)</f>
        <v>0</v>
      </c>
      <c r="I10" s="690">
        <f t="shared" ref="I10:I21" si="1">IFERROR(H10/(C10+D10), "N/A")</f>
        <v>0</v>
      </c>
      <c r="J10" s="690"/>
      <c r="K10" s="684" t="s">
        <v>0</v>
      </c>
      <c r="L10" s="685">
        <f>IFERROR(INDEX('2022 CONG 2022 Actual'!$F$9:$CD$300,MATCH('Admin Priorities'!L$5,'2022 CONG 2022 Actual'!$A$9:$A$300,0),MATCH('Admin Priorities'!#REF!,'2022 CONG 2022 Actual'!$F$4:$CD$4,0)), 0)</f>
        <v>0</v>
      </c>
      <c r="M10" s="686">
        <f>IFERROR(INDEX('2023 CONG 2023 Req.'!$F$8:$CG$300, MATCH('Admin Priorities'!M$5, '2023 CONG 2023 Req.'!$A$8:$A$300, 0), MATCH('Admin Priorities'!#REF!, '2023 CONG 2023 Req.'!$F$3:$CG$3, 0)), 0)</f>
        <v>0</v>
      </c>
      <c r="N10" s="687">
        <v>0</v>
      </c>
      <c r="O10" s="687">
        <v>0</v>
      </c>
      <c r="P10" s="688">
        <f>SUM(M10:O10)</f>
        <v>0</v>
      </c>
      <c r="Q10" s="685">
        <v>0</v>
      </c>
      <c r="R10" s="689">
        <f t="shared" ref="R10:R20" si="2">Q10-(M10+N10)</f>
        <v>0</v>
      </c>
      <c r="S10" s="690" t="str">
        <f t="shared" ref="S10:S22" si="3">IFERROR(R10/(M10+N10), "N/A")</f>
        <v>N/A</v>
      </c>
    </row>
    <row r="11" spans="1:19" s="691" customFormat="1" ht="15" customHeight="1" x14ac:dyDescent="0.3">
      <c r="A11" s="684" t="s">
        <v>1</v>
      </c>
      <c r="B11" s="692">
        <v>45.238999999999997</v>
      </c>
      <c r="C11" s="693">
        <v>44.3</v>
      </c>
      <c r="D11" s="692">
        <v>0</v>
      </c>
      <c r="E11" s="692">
        <v>0</v>
      </c>
      <c r="F11" s="694">
        <f t="shared" ref="F11:F19" si="4">SUM(C11:E11)</f>
        <v>44.3</v>
      </c>
      <c r="G11" s="692">
        <v>44.4</v>
      </c>
      <c r="H11" s="695">
        <f t="shared" si="0"/>
        <v>0.10000000000000142</v>
      </c>
      <c r="I11" s="690">
        <f t="shared" si="1"/>
        <v>2.2573363431151565E-3</v>
      </c>
      <c r="J11" s="690"/>
      <c r="K11" s="684" t="s">
        <v>1</v>
      </c>
      <c r="L11" s="692">
        <v>89.453999999999994</v>
      </c>
      <c r="M11" s="693">
        <v>88.76</v>
      </c>
      <c r="N11" s="692">
        <v>0</v>
      </c>
      <c r="O11" s="692">
        <v>0</v>
      </c>
      <c r="P11" s="694">
        <f t="shared" ref="P11:P19" si="5">SUM(M11:O11)</f>
        <v>88.76</v>
      </c>
      <c r="Q11" s="692">
        <v>93.26</v>
      </c>
      <c r="R11" s="695">
        <f t="shared" si="2"/>
        <v>4.5</v>
      </c>
      <c r="S11" s="690">
        <f t="shared" si="3"/>
        <v>5.0698512843623249E-2</v>
      </c>
    </row>
    <row r="12" spans="1:19" s="691" customFormat="1" ht="15" customHeight="1" x14ac:dyDescent="0.3">
      <c r="A12" s="684" t="s">
        <v>2</v>
      </c>
      <c r="B12" s="692">
        <v>129</v>
      </c>
      <c r="C12" s="693">
        <v>125</v>
      </c>
      <c r="D12" s="692">
        <v>0</v>
      </c>
      <c r="E12" s="692">
        <v>0</v>
      </c>
      <c r="F12" s="694">
        <f t="shared" si="4"/>
        <v>125</v>
      </c>
      <c r="G12" s="692">
        <v>184.37</v>
      </c>
      <c r="H12" s="695">
        <f t="shared" si="0"/>
        <v>59.370000000000005</v>
      </c>
      <c r="I12" s="690">
        <f t="shared" si="1"/>
        <v>0.47496000000000005</v>
      </c>
      <c r="J12" s="690"/>
      <c r="K12" s="684" t="s">
        <v>2</v>
      </c>
      <c r="L12" s="692">
        <v>26</v>
      </c>
      <c r="M12" s="693">
        <v>25</v>
      </c>
      <c r="N12" s="692">
        <v>0</v>
      </c>
      <c r="O12" s="692">
        <v>0</v>
      </c>
      <c r="P12" s="694">
        <f t="shared" si="5"/>
        <v>25</v>
      </c>
      <c r="Q12" s="692">
        <v>27.75</v>
      </c>
      <c r="R12" s="695">
        <f t="shared" si="2"/>
        <v>2.75</v>
      </c>
      <c r="S12" s="690">
        <f t="shared" si="3"/>
        <v>0.11</v>
      </c>
    </row>
    <row r="13" spans="1:19" s="691" customFormat="1" ht="15" customHeight="1" x14ac:dyDescent="0.3">
      <c r="A13" s="684" t="s">
        <v>961</v>
      </c>
      <c r="B13" s="692">
        <v>0</v>
      </c>
      <c r="C13" s="693">
        <v>0</v>
      </c>
      <c r="D13" s="692">
        <v>0</v>
      </c>
      <c r="E13" s="692">
        <v>0</v>
      </c>
      <c r="F13" s="694">
        <f t="shared" si="4"/>
        <v>0</v>
      </c>
      <c r="G13" s="692">
        <v>0</v>
      </c>
      <c r="H13" s="695">
        <f t="shared" si="0"/>
        <v>0</v>
      </c>
      <c r="I13" s="690" t="str">
        <f t="shared" si="1"/>
        <v>N/A</v>
      </c>
      <c r="J13" s="690"/>
      <c r="K13" s="684" t="s">
        <v>961</v>
      </c>
      <c r="L13" s="692">
        <f>IFERROR(INDEX('2022 CONG 2022 Actual'!$F$9:$CD$300,MATCH('Admin Priorities'!L$5,'2022 CONG 2022 Actual'!$A$9:$A$300,0),MATCH('Admin Priorities'!#REF!,'2022 CONG 2022 Actual'!$F$4:$CD$4,0)), 0)-L14</f>
        <v>0</v>
      </c>
      <c r="M13" s="693">
        <v>0</v>
      </c>
      <c r="N13" s="692">
        <v>0</v>
      </c>
      <c r="O13" s="692">
        <v>0</v>
      </c>
      <c r="P13" s="694">
        <f t="shared" si="5"/>
        <v>0</v>
      </c>
      <c r="Q13" s="692">
        <v>0</v>
      </c>
      <c r="R13" s="695">
        <f t="shared" si="2"/>
        <v>0</v>
      </c>
      <c r="S13" s="690" t="str">
        <f t="shared" si="3"/>
        <v>N/A</v>
      </c>
    </row>
    <row r="14" spans="1:19" s="691" customFormat="1" ht="15" customHeight="1" x14ac:dyDescent="0.3">
      <c r="A14" s="684" t="s">
        <v>940</v>
      </c>
      <c r="B14" s="692">
        <v>0</v>
      </c>
      <c r="C14" s="693">
        <v>0</v>
      </c>
      <c r="D14" s="692">
        <v>0</v>
      </c>
      <c r="E14" s="692">
        <v>0</v>
      </c>
      <c r="F14" s="694">
        <f t="shared" si="4"/>
        <v>0</v>
      </c>
      <c r="G14" s="692">
        <v>0</v>
      </c>
      <c r="H14" s="695">
        <f t="shared" si="0"/>
        <v>0</v>
      </c>
      <c r="I14" s="690" t="str">
        <f t="shared" si="1"/>
        <v>N/A</v>
      </c>
      <c r="J14" s="690"/>
      <c r="K14" s="684" t="s">
        <v>940</v>
      </c>
      <c r="L14" s="692">
        <f>IFERROR(INDEX('2022 CONG 2022 Actual'!$F$9:$CD$300,MATCH('Admin Priorities'!L$5,'2022 CONG 2022 Actual'!$A$9:$A$300,0),MATCH('Admin Priorities'!#REF!,'2022 CONG 2022 Actual'!$F$4:$CD$4,0)), 0)</f>
        <v>0</v>
      </c>
      <c r="M14" s="693">
        <v>0</v>
      </c>
      <c r="N14" s="692">
        <v>0</v>
      </c>
      <c r="O14" s="692">
        <v>0</v>
      </c>
      <c r="P14" s="694">
        <f>SUM(M14:O14)</f>
        <v>0</v>
      </c>
      <c r="Q14" s="692">
        <v>0</v>
      </c>
      <c r="R14" s="695">
        <f t="shared" si="2"/>
        <v>0</v>
      </c>
      <c r="S14" s="690" t="str">
        <f t="shared" si="3"/>
        <v>N/A</v>
      </c>
    </row>
    <row r="15" spans="1:19" s="691" customFormat="1" ht="15" customHeight="1" x14ac:dyDescent="0.3">
      <c r="A15" s="684" t="s">
        <v>7</v>
      </c>
      <c r="B15" s="692">
        <v>162.30000000000001</v>
      </c>
      <c r="C15" s="693">
        <v>128.33000000000001</v>
      </c>
      <c r="D15" s="692">
        <v>0</v>
      </c>
      <c r="E15" s="692">
        <v>0</v>
      </c>
      <c r="F15" s="694">
        <f t="shared" si="4"/>
        <v>128.33000000000001</v>
      </c>
      <c r="G15" s="692">
        <v>133.33000000000001</v>
      </c>
      <c r="H15" s="695">
        <f t="shared" si="0"/>
        <v>5</v>
      </c>
      <c r="I15" s="690">
        <f t="shared" si="1"/>
        <v>3.8962050962362653E-2</v>
      </c>
      <c r="J15" s="690"/>
      <c r="K15" s="684" t="s">
        <v>7</v>
      </c>
      <c r="L15" s="692">
        <v>17</v>
      </c>
      <c r="M15" s="693">
        <v>17</v>
      </c>
      <c r="N15" s="692">
        <v>0</v>
      </c>
      <c r="O15" s="692">
        <v>0</v>
      </c>
      <c r="P15" s="694">
        <f t="shared" si="5"/>
        <v>17</v>
      </c>
      <c r="Q15" s="692">
        <v>17</v>
      </c>
      <c r="R15" s="695">
        <f t="shared" si="2"/>
        <v>0</v>
      </c>
      <c r="S15" s="690">
        <f t="shared" si="3"/>
        <v>0</v>
      </c>
    </row>
    <row r="16" spans="1:19" s="691" customFormat="1" ht="15" customHeight="1" x14ac:dyDescent="0.3">
      <c r="A16" s="684" t="s">
        <v>8</v>
      </c>
      <c r="B16" s="692">
        <v>0.5</v>
      </c>
      <c r="C16" s="693">
        <v>0.5</v>
      </c>
      <c r="D16" s="692">
        <v>0</v>
      </c>
      <c r="E16" s="692">
        <v>0</v>
      </c>
      <c r="F16" s="694">
        <f t="shared" si="4"/>
        <v>0.5</v>
      </c>
      <c r="G16" s="692">
        <v>3.5</v>
      </c>
      <c r="H16" s="695">
        <f t="shared" si="0"/>
        <v>3</v>
      </c>
      <c r="I16" s="690">
        <f t="shared" si="1"/>
        <v>6</v>
      </c>
      <c r="J16" s="690"/>
      <c r="K16" s="684" t="s">
        <v>8</v>
      </c>
      <c r="L16" s="692">
        <f>IFERROR(INDEX('2022 CONG 2022 Actual'!$F$9:$CD$300,MATCH('Admin Priorities'!L$5,'2022 CONG 2022 Actual'!$A$9:$A$300,0),MATCH('Admin Priorities'!#REF!,'2022 CONG 2022 Actual'!$F$4:$CD$4,0)), 0)</f>
        <v>0</v>
      </c>
      <c r="M16" s="693">
        <v>0</v>
      </c>
      <c r="N16" s="692">
        <v>0</v>
      </c>
      <c r="O16" s="692">
        <v>0</v>
      </c>
      <c r="P16" s="694">
        <f t="shared" si="5"/>
        <v>0</v>
      </c>
      <c r="Q16" s="692">
        <v>0</v>
      </c>
      <c r="R16" s="695">
        <f t="shared" si="2"/>
        <v>0</v>
      </c>
      <c r="S16" s="690" t="str">
        <f t="shared" si="3"/>
        <v>N/A</v>
      </c>
    </row>
    <row r="17" spans="1:21" s="691" customFormat="1" ht="15" customHeight="1" x14ac:dyDescent="0.3">
      <c r="A17" s="684" t="s">
        <v>9</v>
      </c>
      <c r="B17" s="692">
        <v>54</v>
      </c>
      <c r="C17" s="693">
        <v>27.94</v>
      </c>
      <c r="D17" s="692">
        <v>13.66</v>
      </c>
      <c r="E17" s="692">
        <v>13.04</v>
      </c>
      <c r="F17" s="694">
        <f t="shared" si="4"/>
        <v>54.64</v>
      </c>
      <c r="G17" s="692">
        <v>73.599999999999994</v>
      </c>
      <c r="H17" s="695">
        <f t="shared" si="0"/>
        <v>31.999999999999993</v>
      </c>
      <c r="I17" s="690">
        <f t="shared" si="1"/>
        <v>0.76923076923076905</v>
      </c>
      <c r="J17" s="690"/>
      <c r="K17" s="684" t="s">
        <v>9</v>
      </c>
      <c r="L17" s="692">
        <v>30</v>
      </c>
      <c r="M17" s="693">
        <v>15.62</v>
      </c>
      <c r="N17" s="692">
        <v>7.64</v>
      </c>
      <c r="O17" s="692">
        <v>7.29</v>
      </c>
      <c r="P17" s="694">
        <f t="shared" si="5"/>
        <v>30.549999999999997</v>
      </c>
      <c r="Q17" s="692">
        <v>41.16</v>
      </c>
      <c r="R17" s="695">
        <f t="shared" si="2"/>
        <v>17.899999999999999</v>
      </c>
      <c r="S17" s="690">
        <f t="shared" si="3"/>
        <v>0.7695614789337919</v>
      </c>
    </row>
    <row r="18" spans="1:21" s="691" customFormat="1" ht="15" customHeight="1" x14ac:dyDescent="0.3">
      <c r="A18" s="684" t="s">
        <v>12</v>
      </c>
      <c r="B18" s="692">
        <v>0.02</v>
      </c>
      <c r="C18" s="693">
        <v>0.5</v>
      </c>
      <c r="D18" s="692">
        <v>0</v>
      </c>
      <c r="E18" s="692">
        <v>0</v>
      </c>
      <c r="F18" s="694">
        <f t="shared" si="4"/>
        <v>0.5</v>
      </c>
      <c r="G18" s="692">
        <v>0.5</v>
      </c>
      <c r="H18" s="695">
        <f t="shared" si="0"/>
        <v>0</v>
      </c>
      <c r="I18" s="690">
        <f t="shared" si="1"/>
        <v>0</v>
      </c>
      <c r="J18" s="690"/>
      <c r="K18" s="684" t="s">
        <v>12</v>
      </c>
      <c r="L18" s="692">
        <f>IFERROR(INDEX('2022 CONG 2022 Actual'!$F$9:$CD$300,MATCH('Admin Priorities'!L$5,'2022 CONG 2022 Actual'!$A$9:$A$300,0),MATCH('Admin Priorities'!#REF!,'2022 CONG 2022 Actual'!$F$4:$CD$4,0)), 0)</f>
        <v>0</v>
      </c>
      <c r="M18" s="693">
        <v>0</v>
      </c>
      <c r="N18" s="692">
        <v>0</v>
      </c>
      <c r="O18" s="692">
        <v>0</v>
      </c>
      <c r="P18" s="694">
        <f t="shared" si="5"/>
        <v>0</v>
      </c>
      <c r="Q18" s="692">
        <v>0</v>
      </c>
      <c r="R18" s="695">
        <f t="shared" si="2"/>
        <v>0</v>
      </c>
      <c r="S18" s="690" t="str">
        <f t="shared" si="3"/>
        <v>N/A</v>
      </c>
    </row>
    <row r="19" spans="1:21" s="691" customFormat="1" ht="15" customHeight="1" x14ac:dyDescent="0.3">
      <c r="A19" s="696" t="s">
        <v>13</v>
      </c>
      <c r="B19" s="697">
        <v>15.6</v>
      </c>
      <c r="C19" s="698">
        <v>1</v>
      </c>
      <c r="D19" s="699">
        <v>0</v>
      </c>
      <c r="E19" s="699">
        <v>0</v>
      </c>
      <c r="F19" s="700">
        <f t="shared" si="4"/>
        <v>1</v>
      </c>
      <c r="G19" s="699">
        <v>1</v>
      </c>
      <c r="H19" s="701">
        <f t="shared" si="0"/>
        <v>0</v>
      </c>
      <c r="I19" s="702">
        <f t="shared" si="1"/>
        <v>0</v>
      </c>
      <c r="J19" s="690"/>
      <c r="K19" s="696" t="s">
        <v>13</v>
      </c>
      <c r="L19" s="697">
        <f>IFERROR(INDEX('2022 CONG 2022 Actual'!$F$9:$CD$300,MATCH('Admin Priorities'!L$5,'2022 CONG 2022 Actual'!$A$9:$A$300,0),MATCH('Admin Priorities'!#REF!,'2022 CONG 2022 Actual'!$F$4:$CD$4,0)), 0)</f>
        <v>0</v>
      </c>
      <c r="M19" s="698">
        <v>0</v>
      </c>
      <c r="N19" s="699">
        <v>0</v>
      </c>
      <c r="O19" s="699">
        <v>0</v>
      </c>
      <c r="P19" s="700">
        <f t="shared" si="5"/>
        <v>0</v>
      </c>
      <c r="Q19" s="699">
        <v>0</v>
      </c>
      <c r="R19" s="701">
        <f t="shared" si="2"/>
        <v>0</v>
      </c>
      <c r="S19" s="702" t="str">
        <f t="shared" si="3"/>
        <v>N/A</v>
      </c>
    </row>
    <row r="20" spans="1:21" s="691" customFormat="1" ht="15.9" customHeight="1" x14ac:dyDescent="0.3">
      <c r="A20" s="703" t="s">
        <v>527</v>
      </c>
      <c r="B20" s="704">
        <f t="shared" ref="B20:G20" si="6">SUM(B9:B19)</f>
        <v>413.81900000000002</v>
      </c>
      <c r="C20" s="705">
        <f t="shared" si="6"/>
        <v>334.72999999999996</v>
      </c>
      <c r="D20" s="704">
        <f>SUM(D8:D19)</f>
        <v>13.66</v>
      </c>
      <c r="E20" s="704">
        <f>SUM(E8:E19)</f>
        <v>13.04</v>
      </c>
      <c r="F20" s="706">
        <f t="shared" si="6"/>
        <v>361.42999999999995</v>
      </c>
      <c r="G20" s="705">
        <f t="shared" si="6"/>
        <v>447.86</v>
      </c>
      <c r="H20" s="707">
        <f>SUM(H9:H19)</f>
        <v>99.47</v>
      </c>
      <c r="I20" s="708">
        <f t="shared" si="1"/>
        <v>0.28551336146272854</v>
      </c>
      <c r="J20" s="708"/>
      <c r="K20" s="703" t="s">
        <v>527</v>
      </c>
      <c r="L20" s="704">
        <f>SUM(L10:L19)</f>
        <v>162.45400000000001</v>
      </c>
      <c r="M20" s="705">
        <f t="shared" ref="M20:Q20" si="7">SUM(M10:M19)</f>
        <v>146.38</v>
      </c>
      <c r="N20" s="704">
        <f t="shared" si="7"/>
        <v>7.64</v>
      </c>
      <c r="O20" s="704">
        <f t="shared" si="7"/>
        <v>7.29</v>
      </c>
      <c r="P20" s="706">
        <f t="shared" si="7"/>
        <v>161.31</v>
      </c>
      <c r="Q20" s="705">
        <f t="shared" si="7"/>
        <v>179.17</v>
      </c>
      <c r="R20" s="707">
        <f t="shared" si="2"/>
        <v>25.150000000000006</v>
      </c>
      <c r="S20" s="708">
        <f t="shared" si="3"/>
        <v>0.16329048175561622</v>
      </c>
    </row>
    <row r="21" spans="1:21" s="691" customFormat="1" ht="15.9" customHeight="1" x14ac:dyDescent="0.3">
      <c r="A21" s="722" t="s">
        <v>30</v>
      </c>
      <c r="B21" s="709">
        <v>12.367000000000001</v>
      </c>
      <c r="C21" s="710">
        <v>6</v>
      </c>
      <c r="D21" s="709">
        <v>0</v>
      </c>
      <c r="E21" s="709">
        <v>0</v>
      </c>
      <c r="F21" s="711">
        <v>6</v>
      </c>
      <c r="G21" s="709">
        <v>6</v>
      </c>
      <c r="H21" s="712">
        <f>G21-(C21+D21)</f>
        <v>0</v>
      </c>
      <c r="I21" s="713">
        <f t="shared" si="1"/>
        <v>0</v>
      </c>
      <c r="J21" s="708"/>
      <c r="K21" s="722" t="s">
        <v>30</v>
      </c>
      <c r="L21" s="709">
        <f>IFERROR(INDEX('2022 CONG 2022 Actual'!$F$9:$CD$300,MATCH('Admin Priorities'!L$5,'2022 CONG 2022 Actual'!$A$9:$A$300,0),MATCH('Admin Priorities'!#REF!,'2022 CONG 2022 Actual'!$F$4:$CD$4,0)), 0)</f>
        <v>0</v>
      </c>
      <c r="M21" s="710">
        <v>0</v>
      </c>
      <c r="N21" s="709">
        <v>0</v>
      </c>
      <c r="O21" s="709">
        <v>0</v>
      </c>
      <c r="P21" s="711">
        <v>0</v>
      </c>
      <c r="Q21" s="709">
        <v>0</v>
      </c>
      <c r="R21" s="712">
        <f>Q21-(M21+N21)</f>
        <v>0</v>
      </c>
      <c r="S21" s="713" t="str">
        <f t="shared" si="3"/>
        <v>N/A</v>
      </c>
      <c r="U21" s="691" t="s">
        <v>560</v>
      </c>
    </row>
    <row r="22" spans="1:21" s="91" customFormat="1" ht="15.9" customHeight="1" thickBot="1" x14ac:dyDescent="0.35">
      <c r="A22" s="715" t="s">
        <v>528</v>
      </c>
      <c r="B22" s="716">
        <f t="shared" ref="B22" si="8">SUM(B20:B21)</f>
        <v>426.18600000000004</v>
      </c>
      <c r="C22" s="717">
        <f>SUM(C20:C21)</f>
        <v>340.72999999999996</v>
      </c>
      <c r="D22" s="716">
        <f>SUM(D20:D21)</f>
        <v>13.66</v>
      </c>
      <c r="E22" s="716">
        <f t="shared" ref="E22:G22" si="9">SUM(E20:E21)</f>
        <v>13.04</v>
      </c>
      <c r="F22" s="718">
        <f t="shared" si="9"/>
        <v>367.42999999999995</v>
      </c>
      <c r="G22" s="716">
        <f t="shared" si="9"/>
        <v>453.86</v>
      </c>
      <c r="H22" s="719">
        <f>G22-(C22+D22)</f>
        <v>99.470000000000027</v>
      </c>
      <c r="I22" s="720">
        <f t="shared" ref="I22" si="10">IFERROR(H22/(C22+D22), "N/A")</f>
        <v>0.28067947741189092</v>
      </c>
      <c r="J22" s="721"/>
      <c r="K22" s="715" t="s">
        <v>528</v>
      </c>
      <c r="L22" s="716">
        <f>SUM(L20:L21)</f>
        <v>162.45400000000001</v>
      </c>
      <c r="M22" s="717">
        <f>SUM(M20:M21)</f>
        <v>146.38</v>
      </c>
      <c r="N22" s="716">
        <f>SUM(N20:N21)</f>
        <v>7.64</v>
      </c>
      <c r="O22" s="716">
        <f t="shared" ref="O22:Q22" si="11">SUM(O20:O21)</f>
        <v>7.29</v>
      </c>
      <c r="P22" s="718">
        <f t="shared" si="11"/>
        <v>161.31</v>
      </c>
      <c r="Q22" s="716">
        <f t="shared" si="11"/>
        <v>179.17</v>
      </c>
      <c r="R22" s="719">
        <f>Q22-(M22+N22)</f>
        <v>25.150000000000006</v>
      </c>
      <c r="S22" s="720">
        <f t="shared" si="3"/>
        <v>0.16329048175561622</v>
      </c>
    </row>
    <row r="23" spans="1:21" s="691" customFormat="1" ht="24" customHeight="1" x14ac:dyDescent="0.3">
      <c r="A23" s="855" t="s">
        <v>966</v>
      </c>
      <c r="B23" s="856"/>
      <c r="C23" s="856"/>
      <c r="D23" s="856"/>
      <c r="E23" s="856"/>
      <c r="F23" s="856"/>
      <c r="G23" s="856"/>
      <c r="H23" s="856"/>
      <c r="I23" s="856"/>
      <c r="K23" s="830" t="s">
        <v>966</v>
      </c>
      <c r="L23" s="831"/>
      <c r="M23" s="831"/>
      <c r="N23" s="831"/>
      <c r="O23" s="831"/>
      <c r="P23" s="831"/>
      <c r="Q23" s="831"/>
      <c r="R23" s="831"/>
      <c r="S23" s="831"/>
    </row>
    <row r="24" spans="1:21" ht="13.8" thickBot="1" x14ac:dyDescent="0.35"/>
    <row r="25" spans="1:21" ht="30" customHeight="1" x14ac:dyDescent="0.3">
      <c r="A25" s="672"/>
      <c r="B25" s="840" t="s">
        <v>531</v>
      </c>
      <c r="C25" s="841"/>
      <c r="D25" s="841"/>
      <c r="E25" s="841"/>
      <c r="F25" s="841"/>
      <c r="G25" s="841"/>
      <c r="H25" s="841"/>
      <c r="I25" s="842"/>
      <c r="J25" s="675"/>
      <c r="K25" s="672"/>
      <c r="L25" s="840" t="s">
        <v>231</v>
      </c>
      <c r="M25" s="841"/>
      <c r="N25" s="841"/>
      <c r="O25" s="841"/>
      <c r="P25" s="841"/>
      <c r="Q25" s="841"/>
      <c r="R25" s="841"/>
      <c r="S25" s="842"/>
    </row>
    <row r="26" spans="1:21" ht="46.5" customHeight="1" x14ac:dyDescent="0.3">
      <c r="A26" s="673"/>
      <c r="B26" s="865" t="s">
        <v>965</v>
      </c>
      <c r="C26" s="832" t="s">
        <v>964</v>
      </c>
      <c r="D26" s="834" t="s">
        <v>960</v>
      </c>
      <c r="E26" s="834"/>
      <c r="F26" s="862" t="s">
        <v>963</v>
      </c>
      <c r="G26" s="864" t="s">
        <v>959</v>
      </c>
      <c r="H26" s="857" t="s">
        <v>968</v>
      </c>
      <c r="I26" s="858"/>
      <c r="J26" s="675"/>
      <c r="K26" s="673"/>
      <c r="L26" s="868" t="s">
        <v>523</v>
      </c>
      <c r="M26" s="832" t="s">
        <v>964</v>
      </c>
      <c r="N26" s="834" t="s">
        <v>960</v>
      </c>
      <c r="O26" s="834"/>
      <c r="P26" s="862" t="s">
        <v>963</v>
      </c>
      <c r="Q26" s="864" t="s">
        <v>959</v>
      </c>
      <c r="R26" s="857" t="s">
        <v>968</v>
      </c>
      <c r="S26" s="858"/>
    </row>
    <row r="27" spans="1:21" ht="15" customHeight="1" x14ac:dyDescent="0.3">
      <c r="A27" s="673"/>
      <c r="B27" s="866"/>
      <c r="C27" s="832"/>
      <c r="D27" s="835" t="s">
        <v>962</v>
      </c>
      <c r="E27" s="835" t="s">
        <v>967</v>
      </c>
      <c r="F27" s="862"/>
      <c r="G27" s="835"/>
      <c r="H27" s="859"/>
      <c r="I27" s="860"/>
      <c r="J27" s="676"/>
      <c r="K27" s="673"/>
      <c r="L27" s="866"/>
      <c r="M27" s="832"/>
      <c r="N27" s="835" t="s">
        <v>962</v>
      </c>
      <c r="O27" s="835" t="s">
        <v>967</v>
      </c>
      <c r="P27" s="862"/>
      <c r="Q27" s="835"/>
      <c r="R27" s="859"/>
      <c r="S27" s="860"/>
    </row>
    <row r="28" spans="1:21" ht="15" customHeight="1" x14ac:dyDescent="0.3">
      <c r="A28" s="674"/>
      <c r="B28" s="867"/>
      <c r="C28" s="833"/>
      <c r="D28" s="797"/>
      <c r="E28" s="797"/>
      <c r="F28" s="863"/>
      <c r="G28" s="797"/>
      <c r="H28" s="682" t="s">
        <v>377</v>
      </c>
      <c r="I28" s="683" t="s">
        <v>378</v>
      </c>
      <c r="J28" s="677"/>
      <c r="K28" s="674"/>
      <c r="L28" s="867"/>
      <c r="M28" s="833"/>
      <c r="N28" s="797"/>
      <c r="O28" s="797"/>
      <c r="P28" s="863"/>
      <c r="Q28" s="797"/>
      <c r="R28" s="682" t="s">
        <v>377</v>
      </c>
      <c r="S28" s="683" t="s">
        <v>378</v>
      </c>
    </row>
    <row r="29" spans="1:21" s="691" customFormat="1" ht="15" customHeight="1" x14ac:dyDescent="0.3">
      <c r="A29" s="684" t="s">
        <v>0</v>
      </c>
      <c r="B29" s="685">
        <v>20</v>
      </c>
      <c r="C29" s="686">
        <v>20</v>
      </c>
      <c r="D29" s="687">
        <v>0</v>
      </c>
      <c r="E29" s="687">
        <v>0</v>
      </c>
      <c r="F29" s="688">
        <f t="shared" ref="F29:F38" si="12">SUM(C29:E29)</f>
        <v>20</v>
      </c>
      <c r="G29" s="685">
        <v>20</v>
      </c>
      <c r="H29" s="689">
        <f t="shared" ref="H29:H38" si="13">G29-(C29+D29)</f>
        <v>0</v>
      </c>
      <c r="I29" s="690">
        <f t="shared" ref="I29:I40" si="14">IFERROR(H29/(C29+D29), "N/A")</f>
        <v>0</v>
      </c>
      <c r="J29" s="690"/>
      <c r="K29" s="684" t="s">
        <v>0</v>
      </c>
      <c r="L29" s="685">
        <v>118</v>
      </c>
      <c r="M29" s="686">
        <v>122.75</v>
      </c>
      <c r="N29" s="687">
        <v>25.25</v>
      </c>
      <c r="O29" s="687">
        <v>0</v>
      </c>
      <c r="P29" s="688">
        <f>SUM(M29:O29)</f>
        <v>148</v>
      </c>
      <c r="Q29" s="685">
        <v>176.88</v>
      </c>
      <c r="R29" s="689">
        <f t="shared" ref="R29:R38" si="15">Q29-(M29+N29)</f>
        <v>28.879999999999995</v>
      </c>
      <c r="S29" s="690">
        <f t="shared" ref="S29:S40" si="16">IFERROR(R29/(M29+N29), "N/A")</f>
        <v>0.19513513513513511</v>
      </c>
    </row>
    <row r="30" spans="1:21" s="691" customFormat="1" ht="15" customHeight="1" x14ac:dyDescent="0.3">
      <c r="A30" s="684" t="s">
        <v>1</v>
      </c>
      <c r="B30" s="692">
        <v>346.96100000000001</v>
      </c>
      <c r="C30" s="693">
        <v>344</v>
      </c>
      <c r="D30" s="692">
        <v>0</v>
      </c>
      <c r="E30" s="692">
        <v>0</v>
      </c>
      <c r="F30" s="694">
        <f t="shared" si="12"/>
        <v>344</v>
      </c>
      <c r="G30" s="692">
        <v>389</v>
      </c>
      <c r="H30" s="695">
        <f t="shared" si="13"/>
        <v>45</v>
      </c>
      <c r="I30" s="690">
        <f t="shared" si="14"/>
        <v>0.1308139534883721</v>
      </c>
      <c r="J30" s="690"/>
      <c r="K30" s="684" t="s">
        <v>1</v>
      </c>
      <c r="L30" s="692">
        <v>9.6509999999999998</v>
      </c>
      <c r="M30" s="693">
        <v>6.92</v>
      </c>
      <c r="N30" s="692">
        <v>0</v>
      </c>
      <c r="O30" s="692">
        <v>0</v>
      </c>
      <c r="P30" s="694">
        <f t="shared" ref="P30:P40" si="17">SUM(M30:O30)</f>
        <v>6.92</v>
      </c>
      <c r="Q30" s="692">
        <v>6.92</v>
      </c>
      <c r="R30" s="695">
        <f t="shared" si="15"/>
        <v>0</v>
      </c>
      <c r="S30" s="690">
        <f t="shared" si="16"/>
        <v>0</v>
      </c>
    </row>
    <row r="31" spans="1:21" s="691" customFormat="1" ht="15" customHeight="1" x14ac:dyDescent="0.3">
      <c r="A31" s="684" t="s">
        <v>2</v>
      </c>
      <c r="B31" s="692">
        <v>88</v>
      </c>
      <c r="C31" s="693">
        <v>88</v>
      </c>
      <c r="D31" s="692">
        <v>0</v>
      </c>
      <c r="E31" s="692">
        <v>0</v>
      </c>
      <c r="F31" s="694">
        <f t="shared" si="12"/>
        <v>88</v>
      </c>
      <c r="G31" s="692">
        <v>97</v>
      </c>
      <c r="H31" s="695">
        <f t="shared" si="13"/>
        <v>9</v>
      </c>
      <c r="I31" s="690">
        <f t="shared" si="14"/>
        <v>0.10227272727272728</v>
      </c>
      <c r="J31" s="690"/>
      <c r="K31" s="684" t="s">
        <v>2</v>
      </c>
      <c r="L31" s="692">
        <v>92</v>
      </c>
      <c r="M31" s="693">
        <v>92</v>
      </c>
      <c r="N31" s="692">
        <v>0</v>
      </c>
      <c r="O31" s="692">
        <v>0</v>
      </c>
      <c r="P31" s="694">
        <f t="shared" si="17"/>
        <v>92</v>
      </c>
      <c r="Q31" s="692">
        <v>106.5</v>
      </c>
      <c r="R31" s="695">
        <f t="shared" si="15"/>
        <v>14.5</v>
      </c>
      <c r="S31" s="690">
        <f t="shared" si="16"/>
        <v>0.15760869565217392</v>
      </c>
    </row>
    <row r="32" spans="1:21" s="691" customFormat="1" ht="15" customHeight="1" x14ac:dyDescent="0.3">
      <c r="A32" s="684" t="s">
        <v>961</v>
      </c>
      <c r="B32" s="692">
        <v>1</v>
      </c>
      <c r="C32" s="693">
        <v>5</v>
      </c>
      <c r="D32" s="692">
        <v>0</v>
      </c>
      <c r="E32" s="692">
        <v>0</v>
      </c>
      <c r="F32" s="694">
        <f t="shared" si="12"/>
        <v>5</v>
      </c>
      <c r="G32" s="692">
        <v>5</v>
      </c>
      <c r="H32" s="695">
        <f t="shared" si="13"/>
        <v>0</v>
      </c>
      <c r="I32" s="690">
        <f t="shared" si="14"/>
        <v>0</v>
      </c>
      <c r="J32" s="690"/>
      <c r="K32" s="684" t="s">
        <v>961</v>
      </c>
      <c r="L32" s="692">
        <v>10</v>
      </c>
      <c r="M32" s="693">
        <v>10</v>
      </c>
      <c r="N32" s="692">
        <v>0</v>
      </c>
      <c r="O32" s="692">
        <v>0</v>
      </c>
      <c r="P32" s="694">
        <f t="shared" si="17"/>
        <v>10</v>
      </c>
      <c r="Q32" s="692">
        <v>10</v>
      </c>
      <c r="R32" s="695">
        <f t="shared" si="15"/>
        <v>0</v>
      </c>
      <c r="S32" s="690">
        <f t="shared" si="16"/>
        <v>0</v>
      </c>
    </row>
    <row r="33" spans="1:19" s="691" customFormat="1" ht="15" customHeight="1" x14ac:dyDescent="0.3">
      <c r="A33" s="684" t="s">
        <v>940</v>
      </c>
      <c r="B33" s="692">
        <v>0</v>
      </c>
      <c r="C33" s="693">
        <v>0</v>
      </c>
      <c r="D33" s="692">
        <v>0</v>
      </c>
      <c r="E33" s="692">
        <v>0</v>
      </c>
      <c r="F33" s="694">
        <f>SUM(C33:E33)</f>
        <v>0</v>
      </c>
      <c r="G33" s="692">
        <v>0</v>
      </c>
      <c r="H33" s="695">
        <f t="shared" si="13"/>
        <v>0</v>
      </c>
      <c r="I33" s="690" t="str">
        <f t="shared" si="14"/>
        <v>N/A</v>
      </c>
      <c r="J33" s="690"/>
      <c r="K33" s="684" t="s">
        <v>940</v>
      </c>
      <c r="L33" s="692">
        <v>1.6</v>
      </c>
      <c r="M33" s="693">
        <v>1.6</v>
      </c>
      <c r="N33" s="692">
        <v>0</v>
      </c>
      <c r="O33" s="692">
        <v>0</v>
      </c>
      <c r="P33" s="694">
        <f>SUM(M33:O33)</f>
        <v>1.6</v>
      </c>
      <c r="Q33" s="692">
        <v>2</v>
      </c>
      <c r="R33" s="695">
        <f t="shared" si="15"/>
        <v>0.39999999999999991</v>
      </c>
      <c r="S33" s="690">
        <f t="shared" si="16"/>
        <v>0.24999999999999994</v>
      </c>
    </row>
    <row r="34" spans="1:19" s="691" customFormat="1" ht="15" customHeight="1" x14ac:dyDescent="0.3">
      <c r="A34" s="684" t="s">
        <v>7</v>
      </c>
      <c r="B34" s="692">
        <v>134.18</v>
      </c>
      <c r="C34" s="693">
        <v>75.209999999999994</v>
      </c>
      <c r="D34" s="692">
        <v>0</v>
      </c>
      <c r="E34" s="692">
        <v>0</v>
      </c>
      <c r="F34" s="694">
        <f t="shared" si="12"/>
        <v>75.209999999999994</v>
      </c>
      <c r="G34" s="692">
        <v>84.2</v>
      </c>
      <c r="H34" s="695">
        <f t="shared" si="13"/>
        <v>8.9900000000000091</v>
      </c>
      <c r="I34" s="690">
        <f t="shared" si="14"/>
        <v>0.11953197713070084</v>
      </c>
      <c r="J34" s="690"/>
      <c r="K34" s="684" t="s">
        <v>7</v>
      </c>
      <c r="L34" s="692">
        <v>75.63</v>
      </c>
      <c r="M34" s="693">
        <v>62.2</v>
      </c>
      <c r="N34" s="692">
        <v>0</v>
      </c>
      <c r="O34" s="692">
        <v>0</v>
      </c>
      <c r="P34" s="694">
        <f t="shared" si="17"/>
        <v>62.2</v>
      </c>
      <c r="Q34" s="692">
        <v>62.2</v>
      </c>
      <c r="R34" s="695">
        <f t="shared" si="15"/>
        <v>0</v>
      </c>
      <c r="S34" s="690">
        <f t="shared" si="16"/>
        <v>0</v>
      </c>
    </row>
    <row r="35" spans="1:19" s="691" customFormat="1" ht="15" customHeight="1" x14ac:dyDescent="0.3">
      <c r="A35" s="684" t="s">
        <v>8</v>
      </c>
      <c r="B35" s="692">
        <v>17.739999999999998</v>
      </c>
      <c r="C35" s="693">
        <v>16.920000000000002</v>
      </c>
      <c r="D35" s="692">
        <v>0</v>
      </c>
      <c r="E35" s="692">
        <v>0</v>
      </c>
      <c r="F35" s="694">
        <f t="shared" si="12"/>
        <v>16.920000000000002</v>
      </c>
      <c r="G35" s="692">
        <v>19.59</v>
      </c>
      <c r="H35" s="695">
        <f t="shared" si="13"/>
        <v>2.6699999999999982</v>
      </c>
      <c r="I35" s="690">
        <f t="shared" si="14"/>
        <v>0.15780141843971618</v>
      </c>
      <c r="J35" s="690"/>
      <c r="K35" s="684" t="s">
        <v>8</v>
      </c>
      <c r="L35" s="692">
        <v>1.68</v>
      </c>
      <c r="M35" s="693">
        <v>1.5</v>
      </c>
      <c r="N35" s="692">
        <v>0</v>
      </c>
      <c r="O35" s="692">
        <v>0</v>
      </c>
      <c r="P35" s="694">
        <f t="shared" si="17"/>
        <v>1.5</v>
      </c>
      <c r="Q35" s="692">
        <v>1.5</v>
      </c>
      <c r="R35" s="695">
        <f t="shared" si="15"/>
        <v>0</v>
      </c>
      <c r="S35" s="690">
        <f t="shared" si="16"/>
        <v>0</v>
      </c>
    </row>
    <row r="36" spans="1:19" s="691" customFormat="1" ht="15" customHeight="1" x14ac:dyDescent="0.3">
      <c r="A36" s="684" t="s">
        <v>9</v>
      </c>
      <c r="B36" s="692">
        <v>100</v>
      </c>
      <c r="C36" s="693">
        <v>52.45</v>
      </c>
      <c r="D36" s="692">
        <v>25.64</v>
      </c>
      <c r="E36" s="692">
        <v>24.48</v>
      </c>
      <c r="F36" s="694">
        <f t="shared" si="12"/>
        <v>102.57000000000001</v>
      </c>
      <c r="G36" s="692">
        <v>138.19</v>
      </c>
      <c r="H36" s="695">
        <f t="shared" si="13"/>
        <v>60.099999999999994</v>
      </c>
      <c r="I36" s="690">
        <f t="shared" si="14"/>
        <v>0.76962479190677413</v>
      </c>
      <c r="J36" s="690"/>
      <c r="K36" s="684" t="s">
        <v>9</v>
      </c>
      <c r="L36" s="692">
        <v>30</v>
      </c>
      <c r="M36" s="693">
        <v>35.31</v>
      </c>
      <c r="N36" s="692">
        <v>17.27</v>
      </c>
      <c r="O36" s="692">
        <v>16.48</v>
      </c>
      <c r="P36" s="694">
        <f t="shared" si="17"/>
        <v>69.06</v>
      </c>
      <c r="Q36" s="692">
        <v>93.05</v>
      </c>
      <c r="R36" s="695">
        <f t="shared" si="15"/>
        <v>40.47</v>
      </c>
      <c r="S36" s="690">
        <f t="shared" si="16"/>
        <v>0.76968429060479271</v>
      </c>
    </row>
    <row r="37" spans="1:19" s="691" customFormat="1" ht="15" customHeight="1" x14ac:dyDescent="0.3">
      <c r="A37" s="684" t="s">
        <v>12</v>
      </c>
      <c r="B37" s="692">
        <v>0</v>
      </c>
      <c r="C37" s="693">
        <v>0</v>
      </c>
      <c r="D37" s="692">
        <v>0</v>
      </c>
      <c r="E37" s="692">
        <v>0</v>
      </c>
      <c r="F37" s="694">
        <f t="shared" si="12"/>
        <v>0</v>
      </c>
      <c r="G37" s="692">
        <v>0</v>
      </c>
      <c r="H37" s="695">
        <f t="shared" si="13"/>
        <v>0</v>
      </c>
      <c r="I37" s="690" t="str">
        <f t="shared" si="14"/>
        <v>N/A</v>
      </c>
      <c r="J37" s="690"/>
      <c r="K37" s="684" t="s">
        <v>12</v>
      </c>
      <c r="L37" s="692">
        <v>0</v>
      </c>
      <c r="M37" s="693">
        <v>0</v>
      </c>
      <c r="N37" s="692">
        <v>0</v>
      </c>
      <c r="O37" s="692">
        <v>0</v>
      </c>
      <c r="P37" s="694">
        <f t="shared" si="17"/>
        <v>0</v>
      </c>
      <c r="Q37" s="692">
        <v>0</v>
      </c>
      <c r="R37" s="695">
        <f t="shared" si="15"/>
        <v>0</v>
      </c>
      <c r="S37" s="690" t="str">
        <f t="shared" si="16"/>
        <v>N/A</v>
      </c>
    </row>
    <row r="38" spans="1:19" s="691" customFormat="1" ht="15" customHeight="1" x14ac:dyDescent="0.3">
      <c r="A38" s="696" t="s">
        <v>13</v>
      </c>
      <c r="B38" s="697">
        <v>14.3</v>
      </c>
      <c r="C38" s="698">
        <v>1</v>
      </c>
      <c r="D38" s="699">
        <v>0</v>
      </c>
      <c r="E38" s="699">
        <v>0</v>
      </c>
      <c r="F38" s="700">
        <f t="shared" si="12"/>
        <v>1</v>
      </c>
      <c r="G38" s="699">
        <v>1</v>
      </c>
      <c r="H38" s="701">
        <f t="shared" si="13"/>
        <v>0</v>
      </c>
      <c r="I38" s="702">
        <f t="shared" si="14"/>
        <v>0</v>
      </c>
      <c r="J38" s="690"/>
      <c r="K38" s="696" t="s">
        <v>13</v>
      </c>
      <c r="L38" s="697">
        <v>22.52</v>
      </c>
      <c r="M38" s="698">
        <v>1</v>
      </c>
      <c r="N38" s="699">
        <v>0</v>
      </c>
      <c r="O38" s="699">
        <v>0</v>
      </c>
      <c r="P38" s="700">
        <f t="shared" si="17"/>
        <v>1</v>
      </c>
      <c r="Q38" s="699">
        <v>1</v>
      </c>
      <c r="R38" s="701">
        <f t="shared" si="15"/>
        <v>0</v>
      </c>
      <c r="S38" s="702">
        <f t="shared" si="16"/>
        <v>0</v>
      </c>
    </row>
    <row r="39" spans="1:19" s="691" customFormat="1" ht="15.9" customHeight="1" x14ac:dyDescent="0.3">
      <c r="A39" s="703" t="s">
        <v>527</v>
      </c>
      <c r="B39" s="704">
        <f>SUM(B29:B38)</f>
        <v>722.18100000000004</v>
      </c>
      <c r="C39" s="705">
        <f t="shared" ref="C39:G39" si="18">SUM(C29:C38)</f>
        <v>602.58000000000004</v>
      </c>
      <c r="D39" s="704">
        <f t="shared" si="18"/>
        <v>25.64</v>
      </c>
      <c r="E39" s="704">
        <f t="shared" si="18"/>
        <v>24.48</v>
      </c>
      <c r="F39" s="706">
        <f t="shared" si="18"/>
        <v>652.70000000000005</v>
      </c>
      <c r="G39" s="705">
        <f t="shared" si="18"/>
        <v>753.98</v>
      </c>
      <c r="H39" s="707">
        <f t="shared" ref="H39" si="19">G39-(C39+D39)</f>
        <v>125.75999999999999</v>
      </c>
      <c r="I39" s="708">
        <f t="shared" ref="I39" si="20">IFERROR(H39/(C39+D39), "N/A")</f>
        <v>0.20018464868994937</v>
      </c>
      <c r="J39" s="708"/>
      <c r="K39" s="703" t="s">
        <v>527</v>
      </c>
      <c r="L39" s="704">
        <f>SUM(L29:L38)</f>
        <v>361.08099999999996</v>
      </c>
      <c r="M39" s="705">
        <f t="shared" ref="M39:Q39" si="21">SUM(M29:M38)</f>
        <v>333.28</v>
      </c>
      <c r="N39" s="704">
        <f t="shared" si="21"/>
        <v>42.519999999999996</v>
      </c>
      <c r="O39" s="704">
        <f t="shared" si="21"/>
        <v>16.48</v>
      </c>
      <c r="P39" s="706">
        <f t="shared" si="21"/>
        <v>392.28</v>
      </c>
      <c r="Q39" s="705">
        <f t="shared" si="21"/>
        <v>460.04999999999995</v>
      </c>
      <c r="R39" s="707">
        <f t="shared" ref="R39" si="22">Q39-(M39+N39)</f>
        <v>84.25</v>
      </c>
      <c r="S39" s="708">
        <f t="shared" ref="S39" si="23">IFERROR(R39/(M39+N39), "N/A")</f>
        <v>0.2241883980840873</v>
      </c>
    </row>
    <row r="40" spans="1:19" s="691" customFormat="1" ht="15.9" customHeight="1" x14ac:dyDescent="0.3">
      <c r="A40" s="722" t="s">
        <v>30</v>
      </c>
      <c r="B40" s="709">
        <v>59.61</v>
      </c>
      <c r="C40" s="710">
        <v>35</v>
      </c>
      <c r="D40" s="709">
        <v>0</v>
      </c>
      <c r="E40" s="709">
        <v>0</v>
      </c>
      <c r="F40" s="711">
        <f>SUM(C40:E40)</f>
        <v>35</v>
      </c>
      <c r="G40" s="709">
        <v>42.5</v>
      </c>
      <c r="H40" s="712">
        <f>G40-(C40+D40)</f>
        <v>7.5</v>
      </c>
      <c r="I40" s="713">
        <f t="shared" si="14"/>
        <v>0.21428571428571427</v>
      </c>
      <c r="J40" s="708"/>
      <c r="K40" s="722" t="s">
        <v>30</v>
      </c>
      <c r="L40" s="709">
        <v>9.3699999999999992</v>
      </c>
      <c r="M40" s="710">
        <v>9</v>
      </c>
      <c r="N40" s="709">
        <v>0</v>
      </c>
      <c r="O40" s="709">
        <v>0</v>
      </c>
      <c r="P40" s="711">
        <f t="shared" si="17"/>
        <v>9</v>
      </c>
      <c r="Q40" s="709">
        <v>10</v>
      </c>
      <c r="R40" s="712">
        <f>Q40-(M40+N40)</f>
        <v>1</v>
      </c>
      <c r="S40" s="713">
        <f t="shared" si="16"/>
        <v>0.1111111111111111</v>
      </c>
    </row>
    <row r="41" spans="1:19" s="91" customFormat="1" ht="15.9" customHeight="1" thickBot="1" x14ac:dyDescent="0.35">
      <c r="A41" s="715" t="s">
        <v>528</v>
      </c>
      <c r="B41" s="716">
        <f>SUM(B39:B40)</f>
        <v>781.79100000000005</v>
      </c>
      <c r="C41" s="717">
        <f t="shared" ref="C41:E41" si="24">SUM(C39:C40)</f>
        <v>637.58000000000004</v>
      </c>
      <c r="D41" s="716">
        <f t="shared" si="24"/>
        <v>25.64</v>
      </c>
      <c r="E41" s="716">
        <f t="shared" si="24"/>
        <v>24.48</v>
      </c>
      <c r="F41" s="718">
        <f>SUM(F39:F40)</f>
        <v>687.7</v>
      </c>
      <c r="G41" s="716">
        <f t="shared" ref="G41" si="25">SUM(G39:G40)</f>
        <v>796.48</v>
      </c>
      <c r="H41" s="719">
        <f>G41-(C41+D41)</f>
        <v>133.26</v>
      </c>
      <c r="I41" s="720">
        <f t="shared" ref="I41" si="26">IFERROR(H41/(C41+D41), "N/A")</f>
        <v>0.20092880190585324</v>
      </c>
      <c r="J41" s="721"/>
      <c r="K41" s="715" t="s">
        <v>528</v>
      </c>
      <c r="L41" s="716">
        <f t="shared" ref="L41:Q41" si="27">SUM(L39:L40)</f>
        <v>370.45099999999996</v>
      </c>
      <c r="M41" s="717">
        <f t="shared" si="27"/>
        <v>342.28</v>
      </c>
      <c r="N41" s="716">
        <f t="shared" si="27"/>
        <v>42.519999999999996</v>
      </c>
      <c r="O41" s="716">
        <f t="shared" si="27"/>
        <v>16.48</v>
      </c>
      <c r="P41" s="718">
        <f t="shared" si="27"/>
        <v>401.28</v>
      </c>
      <c r="Q41" s="716">
        <f t="shared" si="27"/>
        <v>470.04999999999995</v>
      </c>
      <c r="R41" s="719">
        <f t="shared" ref="R41" si="28">Q41-(M41+N41)</f>
        <v>85.25</v>
      </c>
      <c r="S41" s="720">
        <f t="shared" ref="S41" si="29">IFERROR(R41/(M41+N41), "N/A")</f>
        <v>0.22154365904365908</v>
      </c>
    </row>
    <row r="42" spans="1:19" s="691" customFormat="1" ht="15.9" customHeight="1" x14ac:dyDescent="0.3">
      <c r="A42" s="831" t="s">
        <v>966</v>
      </c>
      <c r="B42" s="831"/>
      <c r="C42" s="831"/>
      <c r="D42" s="831"/>
      <c r="E42" s="831"/>
      <c r="F42" s="831"/>
      <c r="G42" s="831"/>
      <c r="H42" s="831"/>
      <c r="I42" s="831"/>
      <c r="K42" s="861" t="s">
        <v>560</v>
      </c>
      <c r="L42" s="831"/>
      <c r="M42" s="831"/>
      <c r="N42" s="831"/>
      <c r="O42" s="831"/>
      <c r="P42" s="831"/>
      <c r="Q42" s="831"/>
      <c r="R42" s="831"/>
      <c r="S42" s="831"/>
    </row>
    <row r="43" spans="1:19" ht="13.8" thickBot="1" x14ac:dyDescent="0.35"/>
    <row r="44" spans="1:19" ht="30" customHeight="1" x14ac:dyDescent="0.3">
      <c r="A44" s="672"/>
      <c r="B44" s="840" t="s">
        <v>533</v>
      </c>
      <c r="C44" s="841"/>
      <c r="D44" s="841"/>
      <c r="E44" s="841"/>
      <c r="F44" s="841"/>
      <c r="G44" s="841"/>
      <c r="H44" s="841"/>
      <c r="I44" s="842"/>
      <c r="J44" s="675"/>
      <c r="K44" s="672"/>
      <c r="L44" s="840" t="s">
        <v>238</v>
      </c>
      <c r="M44" s="841"/>
      <c r="N44" s="841"/>
      <c r="O44" s="841"/>
      <c r="P44" s="841"/>
      <c r="Q44" s="841"/>
      <c r="R44" s="841"/>
      <c r="S44" s="842"/>
    </row>
    <row r="45" spans="1:19" ht="45.75" customHeight="1" x14ac:dyDescent="0.3">
      <c r="A45" s="673"/>
      <c r="B45" s="865" t="s">
        <v>965</v>
      </c>
      <c r="C45" s="832" t="s">
        <v>964</v>
      </c>
      <c r="D45" s="834" t="s">
        <v>960</v>
      </c>
      <c r="E45" s="834"/>
      <c r="F45" s="862" t="s">
        <v>963</v>
      </c>
      <c r="G45" s="864" t="s">
        <v>959</v>
      </c>
      <c r="H45" s="857" t="s">
        <v>968</v>
      </c>
      <c r="I45" s="858"/>
      <c r="J45" s="675"/>
      <c r="K45" s="673"/>
      <c r="L45" s="868" t="s">
        <v>523</v>
      </c>
      <c r="M45" s="832" t="s">
        <v>964</v>
      </c>
      <c r="N45" s="834" t="s">
        <v>960</v>
      </c>
      <c r="O45" s="834"/>
      <c r="P45" s="869" t="s">
        <v>963</v>
      </c>
      <c r="Q45" s="864" t="s">
        <v>959</v>
      </c>
      <c r="R45" s="857" t="s">
        <v>968</v>
      </c>
      <c r="S45" s="858"/>
    </row>
    <row r="46" spans="1:19" ht="15" customHeight="1" x14ac:dyDescent="0.3">
      <c r="A46" s="673"/>
      <c r="B46" s="866"/>
      <c r="C46" s="832"/>
      <c r="D46" s="835" t="s">
        <v>962</v>
      </c>
      <c r="E46" s="835" t="s">
        <v>967</v>
      </c>
      <c r="F46" s="862"/>
      <c r="G46" s="835"/>
      <c r="H46" s="859"/>
      <c r="I46" s="860"/>
      <c r="J46" s="676"/>
      <c r="K46" s="673"/>
      <c r="L46" s="866"/>
      <c r="M46" s="832"/>
      <c r="N46" s="835" t="s">
        <v>962</v>
      </c>
      <c r="O46" s="835" t="s">
        <v>967</v>
      </c>
      <c r="P46" s="862"/>
      <c r="Q46" s="835"/>
      <c r="R46" s="859"/>
      <c r="S46" s="860"/>
    </row>
    <row r="47" spans="1:19" ht="15" customHeight="1" x14ac:dyDescent="0.3">
      <c r="A47" s="674"/>
      <c r="B47" s="867"/>
      <c r="C47" s="833"/>
      <c r="D47" s="797"/>
      <c r="E47" s="797"/>
      <c r="F47" s="863"/>
      <c r="G47" s="797"/>
      <c r="H47" s="682" t="s">
        <v>377</v>
      </c>
      <c r="I47" s="683" t="s">
        <v>378</v>
      </c>
      <c r="J47" s="677"/>
      <c r="K47" s="674"/>
      <c r="L47" s="867"/>
      <c r="M47" s="833"/>
      <c r="N47" s="797"/>
      <c r="O47" s="797"/>
      <c r="P47" s="863"/>
      <c r="Q47" s="797"/>
      <c r="R47" s="682" t="s">
        <v>377</v>
      </c>
      <c r="S47" s="683" t="s">
        <v>378</v>
      </c>
    </row>
    <row r="48" spans="1:19" s="691" customFormat="1" ht="15" customHeight="1" x14ac:dyDescent="0.3">
      <c r="A48" s="684" t="s">
        <v>0</v>
      </c>
      <c r="B48" s="685">
        <v>3.28</v>
      </c>
      <c r="C48" s="686">
        <v>3.28</v>
      </c>
      <c r="D48" s="687">
        <v>0</v>
      </c>
      <c r="E48" s="687">
        <v>0</v>
      </c>
      <c r="F48" s="688">
        <f t="shared" ref="F48:F57" si="30">SUM(C48:E48)</f>
        <v>3.28</v>
      </c>
      <c r="G48" s="685">
        <v>3.28</v>
      </c>
      <c r="H48" s="689">
        <f t="shared" ref="H48" si="31">G48-(C48+D48)</f>
        <v>0</v>
      </c>
      <c r="I48" s="690">
        <f t="shared" ref="I48" si="32">IFERROR(H48/(C48+D48), "N/A")</f>
        <v>0</v>
      </c>
      <c r="J48" s="690"/>
      <c r="K48" s="684" t="s">
        <v>0</v>
      </c>
      <c r="L48" s="685">
        <v>3</v>
      </c>
      <c r="M48" s="686">
        <v>0</v>
      </c>
      <c r="N48" s="687">
        <v>0</v>
      </c>
      <c r="O48" s="687">
        <v>0</v>
      </c>
      <c r="P48" s="688">
        <f t="shared" ref="P48:P57" si="33">SUM(M48:O48)</f>
        <v>0</v>
      </c>
      <c r="Q48" s="685">
        <v>0</v>
      </c>
      <c r="R48" s="689">
        <f t="shared" ref="R48" si="34">Q48-(M48+N48)</f>
        <v>0</v>
      </c>
      <c r="S48" s="690" t="str">
        <f t="shared" ref="S48" si="35">IFERROR(R48/(M48+N48), "N/A")</f>
        <v>N/A</v>
      </c>
    </row>
    <row r="49" spans="1:19" s="691" customFormat="1" ht="15" customHeight="1" x14ac:dyDescent="0.3">
      <c r="A49" s="684" t="s">
        <v>1</v>
      </c>
      <c r="B49" s="692">
        <v>25.027000000000001</v>
      </c>
      <c r="C49" s="693">
        <v>20.7</v>
      </c>
      <c r="D49" s="692">
        <v>0</v>
      </c>
      <c r="E49" s="692">
        <v>0</v>
      </c>
      <c r="F49" s="694">
        <f t="shared" si="30"/>
        <v>20.7</v>
      </c>
      <c r="G49" s="692">
        <v>24.74</v>
      </c>
      <c r="H49" s="695">
        <f t="shared" ref="H49:H60" si="36">G49-(C49+D49)</f>
        <v>4.0399999999999991</v>
      </c>
      <c r="I49" s="690">
        <f t="shared" ref="I49:I60" si="37">IFERROR(H49/(C49+D49), "N/A")</f>
        <v>0.19516908212560383</v>
      </c>
      <c r="J49" s="690"/>
      <c r="K49" s="684" t="s">
        <v>1</v>
      </c>
      <c r="L49" s="692">
        <v>41</v>
      </c>
      <c r="M49" s="693">
        <v>40</v>
      </c>
      <c r="N49" s="692">
        <v>0</v>
      </c>
      <c r="O49" s="692">
        <v>0</v>
      </c>
      <c r="P49" s="694">
        <f t="shared" si="33"/>
        <v>40</v>
      </c>
      <c r="Q49" s="692">
        <v>40</v>
      </c>
      <c r="R49" s="695">
        <f t="shared" ref="R49:R60" si="38">Q49-(M49+N49)</f>
        <v>0</v>
      </c>
      <c r="S49" s="690">
        <f t="shared" ref="S49:S60" si="39">IFERROR(R49/(M49+N49), "N/A")</f>
        <v>0</v>
      </c>
    </row>
    <row r="50" spans="1:19" s="691" customFormat="1" ht="15" customHeight="1" x14ac:dyDescent="0.3">
      <c r="A50" s="684" t="s">
        <v>2</v>
      </c>
      <c r="B50" s="692">
        <v>31.17</v>
      </c>
      <c r="C50" s="693">
        <v>29.5</v>
      </c>
      <c r="D50" s="692">
        <v>0</v>
      </c>
      <c r="E50" s="692">
        <v>0</v>
      </c>
      <c r="F50" s="694">
        <f t="shared" si="30"/>
        <v>29.5</v>
      </c>
      <c r="G50" s="692">
        <v>32.89</v>
      </c>
      <c r="H50" s="695">
        <f t="shared" si="36"/>
        <v>3.3900000000000006</v>
      </c>
      <c r="I50" s="690">
        <f t="shared" si="37"/>
        <v>0.11491525423728816</v>
      </c>
      <c r="J50" s="690"/>
      <c r="K50" s="684" t="s">
        <v>2</v>
      </c>
      <c r="L50" s="692">
        <v>43</v>
      </c>
      <c r="M50" s="693">
        <v>43</v>
      </c>
      <c r="N50" s="692">
        <v>0</v>
      </c>
      <c r="O50" s="692">
        <v>0</v>
      </c>
      <c r="P50" s="694">
        <f t="shared" si="33"/>
        <v>43</v>
      </c>
      <c r="Q50" s="692">
        <f>48+15</f>
        <v>63</v>
      </c>
      <c r="R50" s="695">
        <f t="shared" si="38"/>
        <v>20</v>
      </c>
      <c r="S50" s="690">
        <f t="shared" si="39"/>
        <v>0.46511627906976744</v>
      </c>
    </row>
    <row r="51" spans="1:19" s="691" customFormat="1" ht="15" customHeight="1" x14ac:dyDescent="0.3">
      <c r="A51" s="684" t="s">
        <v>961</v>
      </c>
      <c r="B51" s="692">
        <v>0</v>
      </c>
      <c r="C51" s="693">
        <v>0</v>
      </c>
      <c r="D51" s="692">
        <v>0</v>
      </c>
      <c r="E51" s="692">
        <v>0</v>
      </c>
      <c r="F51" s="694">
        <f t="shared" si="30"/>
        <v>0</v>
      </c>
      <c r="G51" s="692">
        <v>0</v>
      </c>
      <c r="H51" s="695">
        <f t="shared" si="36"/>
        <v>0</v>
      </c>
      <c r="I51" s="690" t="str">
        <f t="shared" si="37"/>
        <v>N/A</v>
      </c>
      <c r="J51" s="690"/>
      <c r="K51" s="684" t="s">
        <v>961</v>
      </c>
      <c r="L51" s="692">
        <v>0</v>
      </c>
      <c r="M51" s="693"/>
      <c r="N51" s="692">
        <v>0</v>
      </c>
      <c r="O51" s="692">
        <v>0</v>
      </c>
      <c r="P51" s="694">
        <f t="shared" si="33"/>
        <v>0</v>
      </c>
      <c r="Q51" s="692">
        <v>0</v>
      </c>
      <c r="R51" s="695">
        <f t="shared" si="38"/>
        <v>0</v>
      </c>
      <c r="S51" s="690" t="str">
        <f t="shared" si="39"/>
        <v>N/A</v>
      </c>
    </row>
    <row r="52" spans="1:19" s="691" customFormat="1" ht="15" customHeight="1" x14ac:dyDescent="0.3">
      <c r="A52" s="684" t="s">
        <v>940</v>
      </c>
      <c r="B52" s="692">
        <v>0</v>
      </c>
      <c r="C52" s="693">
        <v>0</v>
      </c>
      <c r="D52" s="692">
        <v>0</v>
      </c>
      <c r="E52" s="692">
        <v>0</v>
      </c>
      <c r="F52" s="694">
        <f t="shared" ref="F52" si="40">SUM(C52:E52)</f>
        <v>0</v>
      </c>
      <c r="G52" s="692">
        <v>0</v>
      </c>
      <c r="H52" s="695">
        <f t="shared" si="36"/>
        <v>0</v>
      </c>
      <c r="I52" s="690" t="str">
        <f t="shared" si="37"/>
        <v>N/A</v>
      </c>
      <c r="J52" s="690"/>
      <c r="K52" s="684" t="s">
        <v>940</v>
      </c>
      <c r="L52" s="692">
        <v>0</v>
      </c>
      <c r="M52" s="693">
        <v>0</v>
      </c>
      <c r="N52" s="692">
        <v>0</v>
      </c>
      <c r="O52" s="692">
        <v>0</v>
      </c>
      <c r="P52" s="694">
        <f t="shared" si="33"/>
        <v>0</v>
      </c>
      <c r="Q52" s="692">
        <v>0</v>
      </c>
      <c r="R52" s="695">
        <f t="shared" si="38"/>
        <v>0</v>
      </c>
      <c r="S52" s="690" t="str">
        <f t="shared" si="39"/>
        <v>N/A</v>
      </c>
    </row>
    <row r="53" spans="1:19" s="691" customFormat="1" ht="15" customHeight="1" x14ac:dyDescent="0.3">
      <c r="A53" s="684" t="s">
        <v>7</v>
      </c>
      <c r="B53" s="692">
        <v>229.87</v>
      </c>
      <c r="C53" s="693">
        <v>179</v>
      </c>
      <c r="D53" s="692">
        <v>0</v>
      </c>
      <c r="E53" s="692">
        <v>0</v>
      </c>
      <c r="F53" s="694">
        <f t="shared" si="30"/>
        <v>179</v>
      </c>
      <c r="G53" s="692">
        <v>214</v>
      </c>
      <c r="H53" s="695">
        <f t="shared" si="36"/>
        <v>35</v>
      </c>
      <c r="I53" s="690">
        <f t="shared" si="37"/>
        <v>0.19553072625698323</v>
      </c>
      <c r="J53" s="690"/>
      <c r="K53" s="684" t="s">
        <v>7</v>
      </c>
      <c r="L53" s="692">
        <v>50.96</v>
      </c>
      <c r="M53" s="693">
        <v>31</v>
      </c>
      <c r="N53" s="692">
        <v>0</v>
      </c>
      <c r="O53" s="692">
        <v>0</v>
      </c>
      <c r="P53" s="694">
        <f t="shared" si="33"/>
        <v>31</v>
      </c>
      <c r="Q53" s="692">
        <v>33</v>
      </c>
      <c r="R53" s="695">
        <f t="shared" si="38"/>
        <v>2</v>
      </c>
      <c r="S53" s="690">
        <f t="shared" si="39"/>
        <v>6.4516129032258063E-2</v>
      </c>
    </row>
    <row r="54" spans="1:19" s="691" customFormat="1" ht="15" customHeight="1" x14ac:dyDescent="0.3">
      <c r="A54" s="684" t="s">
        <v>8</v>
      </c>
      <c r="B54" s="692">
        <v>0</v>
      </c>
      <c r="C54" s="693">
        <v>0</v>
      </c>
      <c r="D54" s="692">
        <v>0</v>
      </c>
      <c r="E54" s="692">
        <v>0</v>
      </c>
      <c r="F54" s="694">
        <f t="shared" si="30"/>
        <v>0</v>
      </c>
      <c r="G54" s="692">
        <v>0</v>
      </c>
      <c r="H54" s="695">
        <f t="shared" si="36"/>
        <v>0</v>
      </c>
      <c r="I54" s="690" t="str">
        <f t="shared" si="37"/>
        <v>N/A</v>
      </c>
      <c r="J54" s="690"/>
      <c r="K54" s="684" t="s">
        <v>8</v>
      </c>
      <c r="L54" s="692">
        <v>0</v>
      </c>
      <c r="M54" s="693">
        <v>0</v>
      </c>
      <c r="N54" s="692">
        <v>0</v>
      </c>
      <c r="O54" s="692">
        <v>0</v>
      </c>
      <c r="P54" s="694">
        <f t="shared" si="33"/>
        <v>0</v>
      </c>
      <c r="Q54" s="692">
        <v>0</v>
      </c>
      <c r="R54" s="695">
        <f t="shared" si="38"/>
        <v>0</v>
      </c>
      <c r="S54" s="690" t="str">
        <f t="shared" si="39"/>
        <v>N/A</v>
      </c>
    </row>
    <row r="55" spans="1:19" s="691" customFormat="1" ht="15" customHeight="1" x14ac:dyDescent="0.3">
      <c r="A55" s="684" t="s">
        <v>9</v>
      </c>
      <c r="B55" s="692">
        <v>25</v>
      </c>
      <c r="C55" s="693">
        <v>19.649999999999999</v>
      </c>
      <c r="D55" s="692">
        <v>9.6</v>
      </c>
      <c r="E55" s="692">
        <v>9.18</v>
      </c>
      <c r="F55" s="694">
        <f t="shared" si="30"/>
        <v>38.43</v>
      </c>
      <c r="G55" s="692">
        <v>51.76</v>
      </c>
      <c r="H55" s="695">
        <f t="shared" si="36"/>
        <v>22.509999999999998</v>
      </c>
      <c r="I55" s="690">
        <f t="shared" si="37"/>
        <v>0.76957264957264948</v>
      </c>
      <c r="J55" s="690"/>
      <c r="K55" s="684" t="s">
        <v>9</v>
      </c>
      <c r="L55" s="692">
        <v>15</v>
      </c>
      <c r="M55" s="693">
        <v>25.69</v>
      </c>
      <c r="N55" s="692">
        <v>12.56</v>
      </c>
      <c r="O55" s="692">
        <v>11.99</v>
      </c>
      <c r="P55" s="694">
        <f t="shared" si="33"/>
        <v>50.24</v>
      </c>
      <c r="Q55" s="692">
        <v>67.680000000000007</v>
      </c>
      <c r="R55" s="695">
        <f t="shared" si="38"/>
        <v>29.430000000000007</v>
      </c>
      <c r="S55" s="690">
        <f t="shared" si="39"/>
        <v>0.76941176470588257</v>
      </c>
    </row>
    <row r="56" spans="1:19" s="691" customFormat="1" ht="15" customHeight="1" x14ac:dyDescent="0.3">
      <c r="A56" s="684" t="s">
        <v>12</v>
      </c>
      <c r="B56" s="692">
        <v>0</v>
      </c>
      <c r="C56" s="693">
        <v>1</v>
      </c>
      <c r="D56" s="692">
        <v>0</v>
      </c>
      <c r="E56" s="692">
        <v>0</v>
      </c>
      <c r="F56" s="694">
        <f t="shared" si="30"/>
        <v>1</v>
      </c>
      <c r="G56" s="692">
        <v>1</v>
      </c>
      <c r="H56" s="695">
        <f t="shared" si="36"/>
        <v>0</v>
      </c>
      <c r="I56" s="690">
        <f t="shared" si="37"/>
        <v>0</v>
      </c>
      <c r="J56" s="690"/>
      <c r="K56" s="684" t="s">
        <v>12</v>
      </c>
      <c r="L56" s="692">
        <v>0</v>
      </c>
      <c r="M56" s="693">
        <v>0</v>
      </c>
      <c r="N56" s="692">
        <v>0</v>
      </c>
      <c r="O56" s="692">
        <v>0</v>
      </c>
      <c r="P56" s="694">
        <f t="shared" si="33"/>
        <v>0</v>
      </c>
      <c r="Q56" s="692">
        <v>0</v>
      </c>
      <c r="R56" s="695">
        <f t="shared" si="38"/>
        <v>0</v>
      </c>
      <c r="S56" s="690" t="str">
        <f t="shared" si="39"/>
        <v>N/A</v>
      </c>
    </row>
    <row r="57" spans="1:19" s="691" customFormat="1" ht="15" customHeight="1" x14ac:dyDescent="0.3">
      <c r="A57" s="696" t="s">
        <v>13</v>
      </c>
      <c r="B57" s="697">
        <v>19.36</v>
      </c>
      <c r="C57" s="698">
        <v>0</v>
      </c>
      <c r="D57" s="699">
        <v>0</v>
      </c>
      <c r="E57" s="699">
        <v>0</v>
      </c>
      <c r="F57" s="700">
        <f t="shared" si="30"/>
        <v>0</v>
      </c>
      <c r="G57" s="699">
        <v>0</v>
      </c>
      <c r="H57" s="701">
        <f t="shared" si="36"/>
        <v>0</v>
      </c>
      <c r="I57" s="702" t="str">
        <f t="shared" si="37"/>
        <v>N/A</v>
      </c>
      <c r="J57" s="690"/>
      <c r="K57" s="696" t="s">
        <v>13</v>
      </c>
      <c r="L57" s="697">
        <v>0</v>
      </c>
      <c r="M57" s="698">
        <v>0</v>
      </c>
      <c r="N57" s="699">
        <v>0</v>
      </c>
      <c r="O57" s="699">
        <v>0</v>
      </c>
      <c r="P57" s="700">
        <f t="shared" si="33"/>
        <v>0</v>
      </c>
      <c r="Q57" s="699">
        <v>0</v>
      </c>
      <c r="R57" s="701">
        <f t="shared" si="38"/>
        <v>0</v>
      </c>
      <c r="S57" s="702" t="str">
        <f t="shared" si="39"/>
        <v>N/A</v>
      </c>
    </row>
    <row r="58" spans="1:19" s="691" customFormat="1" ht="15.9" customHeight="1" x14ac:dyDescent="0.3">
      <c r="A58" s="703" t="s">
        <v>527</v>
      </c>
      <c r="B58" s="704">
        <f>SUM(B48:B57)</f>
        <v>333.70699999999999</v>
      </c>
      <c r="C58" s="705">
        <f t="shared" ref="C58:G58" si="41">SUM(C48:C57)</f>
        <v>253.13000000000002</v>
      </c>
      <c r="D58" s="704">
        <f t="shared" si="41"/>
        <v>9.6</v>
      </c>
      <c r="E58" s="704">
        <f t="shared" si="41"/>
        <v>9.18</v>
      </c>
      <c r="F58" s="706">
        <f t="shared" si="41"/>
        <v>271.91000000000003</v>
      </c>
      <c r="G58" s="705">
        <f t="shared" si="41"/>
        <v>327.66999999999996</v>
      </c>
      <c r="H58" s="707">
        <f t="shared" si="36"/>
        <v>64.939999999999941</v>
      </c>
      <c r="I58" s="708">
        <f t="shared" si="37"/>
        <v>0.24717390476915441</v>
      </c>
      <c r="J58" s="708"/>
      <c r="K58" s="703" t="s">
        <v>527</v>
      </c>
      <c r="L58" s="704">
        <f>SUM(L48:L57)</f>
        <v>152.96</v>
      </c>
      <c r="M58" s="705">
        <f t="shared" ref="M58:Q58" si="42">SUM(M48:M57)</f>
        <v>139.69</v>
      </c>
      <c r="N58" s="704">
        <f t="shared" si="42"/>
        <v>12.56</v>
      </c>
      <c r="O58" s="704">
        <f t="shared" si="42"/>
        <v>11.99</v>
      </c>
      <c r="P58" s="706">
        <f t="shared" si="42"/>
        <v>164.24</v>
      </c>
      <c r="Q58" s="705">
        <f t="shared" si="42"/>
        <v>203.68</v>
      </c>
      <c r="R58" s="707">
        <f t="shared" si="38"/>
        <v>51.430000000000007</v>
      </c>
      <c r="S58" s="708">
        <f t="shared" si="39"/>
        <v>0.33779967159277507</v>
      </c>
    </row>
    <row r="59" spans="1:19" s="691" customFormat="1" ht="15.9" customHeight="1" x14ac:dyDescent="0.3">
      <c r="A59" s="714" t="s">
        <v>30</v>
      </c>
      <c r="B59" s="709">
        <v>14.08</v>
      </c>
      <c r="C59" s="710">
        <v>4</v>
      </c>
      <c r="D59" s="709">
        <v>0</v>
      </c>
      <c r="E59" s="709">
        <v>0</v>
      </c>
      <c r="F59" s="711">
        <f>SUM(C59:E59)</f>
        <v>4</v>
      </c>
      <c r="G59" s="709">
        <v>5</v>
      </c>
      <c r="H59" s="712">
        <f t="shared" si="36"/>
        <v>1</v>
      </c>
      <c r="I59" s="713">
        <f t="shared" si="37"/>
        <v>0.25</v>
      </c>
      <c r="J59" s="708"/>
      <c r="K59" s="714" t="s">
        <v>30</v>
      </c>
      <c r="L59" s="709">
        <v>0</v>
      </c>
      <c r="M59" s="710">
        <v>0</v>
      </c>
      <c r="N59" s="709">
        <v>0</v>
      </c>
      <c r="O59" s="709">
        <v>0</v>
      </c>
      <c r="P59" s="711">
        <f t="shared" ref="P59" si="43">SUM(M59:O59)</f>
        <v>0</v>
      </c>
      <c r="Q59" s="709">
        <v>6</v>
      </c>
      <c r="R59" s="712">
        <f t="shared" si="38"/>
        <v>6</v>
      </c>
      <c r="S59" s="713" t="str">
        <f t="shared" si="39"/>
        <v>N/A</v>
      </c>
    </row>
    <row r="60" spans="1:19" s="91" customFormat="1" ht="15.9" customHeight="1" thickBot="1" x14ac:dyDescent="0.35">
      <c r="A60" s="715" t="s">
        <v>528</v>
      </c>
      <c r="B60" s="716">
        <f>SUM(B58:B59)</f>
        <v>347.78699999999998</v>
      </c>
      <c r="C60" s="717">
        <f t="shared" ref="C60:F60" si="44">SUM(C58:C59)</f>
        <v>257.13</v>
      </c>
      <c r="D60" s="716">
        <f t="shared" si="44"/>
        <v>9.6</v>
      </c>
      <c r="E60" s="716">
        <f t="shared" si="44"/>
        <v>9.18</v>
      </c>
      <c r="F60" s="718">
        <f t="shared" si="44"/>
        <v>275.91000000000003</v>
      </c>
      <c r="G60" s="716">
        <f>SUM(G58:G59)</f>
        <v>332.66999999999996</v>
      </c>
      <c r="H60" s="719">
        <f t="shared" si="36"/>
        <v>65.939999999999941</v>
      </c>
      <c r="I60" s="720">
        <f t="shared" si="37"/>
        <v>0.24721628613204341</v>
      </c>
      <c r="J60" s="721"/>
      <c r="K60" s="715" t="s">
        <v>528</v>
      </c>
      <c r="L60" s="716">
        <f t="shared" ref="L60:Q60" si="45">SUM(L58:L59)</f>
        <v>152.96</v>
      </c>
      <c r="M60" s="717">
        <f t="shared" si="45"/>
        <v>139.69</v>
      </c>
      <c r="N60" s="716">
        <f t="shared" si="45"/>
        <v>12.56</v>
      </c>
      <c r="O60" s="716">
        <f t="shared" si="45"/>
        <v>11.99</v>
      </c>
      <c r="P60" s="718">
        <f t="shared" si="45"/>
        <v>164.24</v>
      </c>
      <c r="Q60" s="716">
        <f t="shared" si="45"/>
        <v>209.68</v>
      </c>
      <c r="R60" s="719">
        <f t="shared" si="38"/>
        <v>57.430000000000007</v>
      </c>
      <c r="S60" s="720">
        <f t="shared" si="39"/>
        <v>0.37720853858784897</v>
      </c>
    </row>
    <row r="61" spans="1:19" s="691" customFormat="1" ht="15.9" customHeight="1" x14ac:dyDescent="0.3">
      <c r="A61" s="831" t="s">
        <v>966</v>
      </c>
      <c r="B61" s="831"/>
      <c r="C61" s="831"/>
      <c r="D61" s="831"/>
      <c r="E61" s="831"/>
      <c r="F61" s="831"/>
      <c r="G61" s="831"/>
      <c r="H61" s="831"/>
      <c r="I61" s="831"/>
      <c r="K61" s="861" t="s">
        <v>560</v>
      </c>
      <c r="L61" s="831"/>
      <c r="M61" s="831"/>
      <c r="N61" s="831"/>
      <c r="O61" s="831"/>
      <c r="P61" s="831"/>
      <c r="Q61" s="831"/>
      <c r="R61" s="831"/>
      <c r="S61" s="831"/>
    </row>
    <row r="62" spans="1:19" ht="13.8" thickBot="1" x14ac:dyDescent="0.35"/>
    <row r="63" spans="1:19" ht="30" customHeight="1" x14ac:dyDescent="0.3">
      <c r="A63" s="672"/>
      <c r="B63" s="840" t="s">
        <v>520</v>
      </c>
      <c r="C63" s="841"/>
      <c r="D63" s="841"/>
      <c r="E63" s="841"/>
      <c r="F63" s="841"/>
      <c r="G63" s="841"/>
      <c r="H63" s="841"/>
      <c r="I63" s="842"/>
      <c r="J63" s="678"/>
      <c r="K63" s="672"/>
      <c r="L63" s="840" t="s">
        <v>521</v>
      </c>
      <c r="M63" s="841"/>
      <c r="N63" s="841"/>
      <c r="O63" s="841"/>
      <c r="P63" s="841"/>
      <c r="Q63" s="841"/>
      <c r="R63" s="841"/>
      <c r="S63" s="842"/>
    </row>
    <row r="64" spans="1:19" ht="51" customHeight="1" x14ac:dyDescent="0.3">
      <c r="A64" s="673"/>
      <c r="B64" s="868" t="s">
        <v>523</v>
      </c>
      <c r="C64" s="832" t="s">
        <v>964</v>
      </c>
      <c r="D64" s="834" t="s">
        <v>960</v>
      </c>
      <c r="E64" s="834"/>
      <c r="F64" s="862" t="s">
        <v>963</v>
      </c>
      <c r="G64" s="864" t="s">
        <v>959</v>
      </c>
      <c r="H64" s="857" t="s">
        <v>968</v>
      </c>
      <c r="I64" s="858"/>
      <c r="J64" s="678"/>
      <c r="K64" s="673"/>
      <c r="L64" s="868" t="s">
        <v>523</v>
      </c>
      <c r="M64" s="832" t="s">
        <v>964</v>
      </c>
      <c r="N64" s="834" t="s">
        <v>960</v>
      </c>
      <c r="O64" s="834"/>
      <c r="P64" s="862" t="s">
        <v>963</v>
      </c>
      <c r="Q64" s="864" t="s">
        <v>970</v>
      </c>
      <c r="R64" s="857" t="s">
        <v>968</v>
      </c>
      <c r="S64" s="858"/>
    </row>
    <row r="65" spans="1:19" ht="15" customHeight="1" x14ac:dyDescent="0.3">
      <c r="A65" s="673"/>
      <c r="B65" s="866"/>
      <c r="C65" s="832"/>
      <c r="D65" s="835" t="s">
        <v>962</v>
      </c>
      <c r="E65" s="835" t="s">
        <v>967</v>
      </c>
      <c r="F65" s="862"/>
      <c r="G65" s="835"/>
      <c r="H65" s="859"/>
      <c r="I65" s="860"/>
      <c r="J65" s="679"/>
      <c r="K65" s="673"/>
      <c r="L65" s="866"/>
      <c r="M65" s="832"/>
      <c r="N65" s="835" t="s">
        <v>962</v>
      </c>
      <c r="O65" s="835" t="s">
        <v>967</v>
      </c>
      <c r="P65" s="862"/>
      <c r="Q65" s="835"/>
      <c r="R65" s="859"/>
      <c r="S65" s="860"/>
    </row>
    <row r="66" spans="1:19" ht="15" customHeight="1" x14ac:dyDescent="0.3">
      <c r="A66" s="674"/>
      <c r="B66" s="867"/>
      <c r="C66" s="833"/>
      <c r="D66" s="797"/>
      <c r="E66" s="797"/>
      <c r="F66" s="863"/>
      <c r="G66" s="797"/>
      <c r="H66" s="682" t="s">
        <v>377</v>
      </c>
      <c r="I66" s="683" t="s">
        <v>378</v>
      </c>
      <c r="J66" s="680"/>
      <c r="K66" s="674"/>
      <c r="L66" s="867"/>
      <c r="M66" s="833"/>
      <c r="N66" s="797"/>
      <c r="O66" s="797"/>
      <c r="P66" s="863"/>
      <c r="Q66" s="797"/>
      <c r="R66" s="682" t="s">
        <v>377</v>
      </c>
      <c r="S66" s="683" t="s">
        <v>378</v>
      </c>
    </row>
    <row r="67" spans="1:19" s="691" customFormat="1" ht="15" customHeight="1" x14ac:dyDescent="0.3">
      <c r="A67" s="684" t="s">
        <v>0</v>
      </c>
      <c r="B67" s="685">
        <v>50</v>
      </c>
      <c r="C67" s="686">
        <v>55</v>
      </c>
      <c r="D67" s="687">
        <v>0</v>
      </c>
      <c r="E67" s="687">
        <v>0</v>
      </c>
      <c r="F67" s="688">
        <f>SUM(C67:E67)</f>
        <v>55</v>
      </c>
      <c r="G67" s="685">
        <v>74.5</v>
      </c>
      <c r="H67" s="689">
        <f t="shared" ref="H67" si="46">G67-(C67+D67)</f>
        <v>19.5</v>
      </c>
      <c r="I67" s="690">
        <f t="shared" ref="I67" si="47">IFERROR(H67/(C67+D67), "N/A")</f>
        <v>0.35454545454545455</v>
      </c>
      <c r="J67" s="723"/>
      <c r="K67" s="684" t="s">
        <v>0</v>
      </c>
      <c r="L67" s="685">
        <v>162.01</v>
      </c>
      <c r="M67" s="686">
        <v>211.71</v>
      </c>
      <c r="N67" s="687">
        <v>0</v>
      </c>
      <c r="O67" s="687">
        <v>0</v>
      </c>
      <c r="P67" s="688">
        <f t="shared" ref="P67:P76" si="48">SUM(M67:O67)</f>
        <v>211.71</v>
      </c>
      <c r="Q67" s="685">
        <f>237.07-12</f>
        <v>225.07</v>
      </c>
      <c r="R67" s="689">
        <f t="shared" ref="R67" si="49">Q67-(M67+N67)</f>
        <v>13.359999999999985</v>
      </c>
      <c r="S67" s="690">
        <f t="shared" ref="S67" si="50">IFERROR(R67/(M67+N67), "N/A")</f>
        <v>6.3105191063246815E-2</v>
      </c>
    </row>
    <row r="68" spans="1:19" s="691" customFormat="1" ht="15" customHeight="1" x14ac:dyDescent="0.3">
      <c r="A68" s="684" t="s">
        <v>1</v>
      </c>
      <c r="B68" s="692">
        <v>29.280999999999999</v>
      </c>
      <c r="C68" s="693">
        <v>39.5</v>
      </c>
      <c r="D68" s="692">
        <v>0</v>
      </c>
      <c r="E68" s="692">
        <v>0</v>
      </c>
      <c r="F68" s="694">
        <f>SUM(C68:E68)</f>
        <v>39.5</v>
      </c>
      <c r="G68" s="692">
        <v>39.5</v>
      </c>
      <c r="H68" s="695">
        <f t="shared" ref="H68:H79" si="51">G68-(C68+D68)</f>
        <v>0</v>
      </c>
      <c r="I68" s="690">
        <f t="shared" ref="I68:I79" si="52">IFERROR(H68/(C68+D68), "N/A")</f>
        <v>0</v>
      </c>
      <c r="J68" s="723"/>
      <c r="K68" s="684" t="s">
        <v>1</v>
      </c>
      <c r="L68" s="692">
        <v>0</v>
      </c>
      <c r="M68" s="693">
        <v>0</v>
      </c>
      <c r="N68" s="692">
        <v>30</v>
      </c>
      <c r="O68" s="692">
        <v>0</v>
      </c>
      <c r="P68" s="694">
        <f t="shared" si="48"/>
        <v>30</v>
      </c>
      <c r="Q68" s="692">
        <v>30</v>
      </c>
      <c r="R68" s="695">
        <f t="shared" ref="R68:R79" si="53">Q68-(M68+N68)</f>
        <v>0</v>
      </c>
      <c r="S68" s="690">
        <f t="shared" ref="S68:S79" si="54">IFERROR(R68/(M68+N68), "N/A")</f>
        <v>0</v>
      </c>
    </row>
    <row r="69" spans="1:19" s="691" customFormat="1" ht="15" customHeight="1" x14ac:dyDescent="0.3">
      <c r="A69" s="684" t="s">
        <v>2</v>
      </c>
      <c r="B69" s="692">
        <v>150</v>
      </c>
      <c r="C69" s="693">
        <v>163</v>
      </c>
      <c r="D69" s="692">
        <v>30</v>
      </c>
      <c r="E69" s="692">
        <v>0</v>
      </c>
      <c r="F69" s="694">
        <f t="shared" ref="F69:F70" si="55">SUM(C69:E69)</f>
        <v>193</v>
      </c>
      <c r="G69" s="692">
        <v>229.75</v>
      </c>
      <c r="H69" s="695">
        <f t="shared" si="51"/>
        <v>36.75</v>
      </c>
      <c r="I69" s="690">
        <f t="shared" si="52"/>
        <v>0.19041450777202074</v>
      </c>
      <c r="J69" s="723"/>
      <c r="K69" s="684" t="s">
        <v>2</v>
      </c>
      <c r="L69" s="692">
        <v>0</v>
      </c>
      <c r="M69" s="693">
        <v>0</v>
      </c>
      <c r="N69" s="692">
        <v>0</v>
      </c>
      <c r="O69" s="692">
        <v>0</v>
      </c>
      <c r="P69" s="694">
        <f t="shared" si="48"/>
        <v>0</v>
      </c>
      <c r="Q69" s="692">
        <v>50</v>
      </c>
      <c r="R69" s="695">
        <f t="shared" si="53"/>
        <v>50</v>
      </c>
      <c r="S69" s="690" t="str">
        <f t="shared" si="54"/>
        <v>N/A</v>
      </c>
    </row>
    <row r="70" spans="1:19" s="691" customFormat="1" ht="15" customHeight="1" x14ac:dyDescent="0.3">
      <c r="A70" s="684" t="s">
        <v>961</v>
      </c>
      <c r="B70" s="692">
        <v>0</v>
      </c>
      <c r="C70" s="693">
        <v>0</v>
      </c>
      <c r="D70" s="692">
        <v>0</v>
      </c>
      <c r="E70" s="692">
        <v>0</v>
      </c>
      <c r="F70" s="694">
        <f t="shared" si="55"/>
        <v>0</v>
      </c>
      <c r="G70" s="692">
        <v>0</v>
      </c>
      <c r="H70" s="695">
        <f t="shared" si="51"/>
        <v>0</v>
      </c>
      <c r="I70" s="690" t="str">
        <f t="shared" si="52"/>
        <v>N/A</v>
      </c>
      <c r="J70" s="723"/>
      <c r="K70" s="684" t="s">
        <v>961</v>
      </c>
      <c r="L70" s="692">
        <v>337.6</v>
      </c>
      <c r="M70" s="693">
        <v>345.6</v>
      </c>
      <c r="N70" s="692">
        <v>10</v>
      </c>
      <c r="O70" s="692">
        <v>0</v>
      </c>
      <c r="P70" s="694">
        <f t="shared" si="48"/>
        <v>355.6</v>
      </c>
      <c r="Q70" s="692">
        <v>479.46</v>
      </c>
      <c r="R70" s="695">
        <f t="shared" si="53"/>
        <v>123.85999999999996</v>
      </c>
      <c r="S70" s="690">
        <f t="shared" si="54"/>
        <v>0.34831271091113597</v>
      </c>
    </row>
    <row r="71" spans="1:19" s="691" customFormat="1" ht="15" customHeight="1" x14ac:dyDescent="0.3">
      <c r="A71" s="684" t="s">
        <v>940</v>
      </c>
      <c r="B71" s="692">
        <v>0</v>
      </c>
      <c r="C71" s="693">
        <v>0</v>
      </c>
      <c r="D71" s="692">
        <v>0</v>
      </c>
      <c r="E71" s="692">
        <v>0</v>
      </c>
      <c r="F71" s="694">
        <f>SUM(C71:E71)</f>
        <v>0</v>
      </c>
      <c r="G71" s="692">
        <v>0</v>
      </c>
      <c r="H71" s="695">
        <f t="shared" si="51"/>
        <v>0</v>
      </c>
      <c r="I71" s="690" t="str">
        <f t="shared" si="52"/>
        <v>N/A</v>
      </c>
      <c r="J71" s="723"/>
      <c r="K71" s="684" t="s">
        <v>940</v>
      </c>
      <c r="L71" s="692">
        <v>236</v>
      </c>
      <c r="M71" s="693">
        <v>197.26</v>
      </c>
      <c r="N71" s="692">
        <v>0</v>
      </c>
      <c r="O71" s="692">
        <v>0</v>
      </c>
      <c r="P71" s="694">
        <f t="shared" si="48"/>
        <v>197.26</v>
      </c>
      <c r="Q71" s="692">
        <v>197.26</v>
      </c>
      <c r="R71" s="695">
        <f t="shared" si="53"/>
        <v>0</v>
      </c>
      <c r="S71" s="690">
        <f t="shared" si="54"/>
        <v>0</v>
      </c>
    </row>
    <row r="72" spans="1:19" s="691" customFormat="1" ht="15" customHeight="1" x14ac:dyDescent="0.3">
      <c r="A72" s="684" t="s">
        <v>7</v>
      </c>
      <c r="B72" s="692">
        <v>123.08</v>
      </c>
      <c r="C72" s="693">
        <v>123.83</v>
      </c>
      <c r="D72" s="692">
        <v>0</v>
      </c>
      <c r="E72" s="692">
        <v>0</v>
      </c>
      <c r="F72" s="694">
        <f t="shared" ref="F72:F78" si="56">SUM(C72:E72)</f>
        <v>123.83</v>
      </c>
      <c r="G72" s="692">
        <v>123.57</v>
      </c>
      <c r="H72" s="695">
        <f t="shared" si="51"/>
        <v>-0.26000000000000512</v>
      </c>
      <c r="I72" s="690">
        <f t="shared" si="52"/>
        <v>-2.0996527497375845E-3</v>
      </c>
      <c r="J72" s="723"/>
      <c r="K72" s="684" t="s">
        <v>7</v>
      </c>
      <c r="L72" s="692">
        <v>13.44</v>
      </c>
      <c r="M72" s="693">
        <v>12</v>
      </c>
      <c r="N72" s="692">
        <v>0</v>
      </c>
      <c r="O72" s="692">
        <v>0</v>
      </c>
      <c r="P72" s="694">
        <f t="shared" si="48"/>
        <v>12</v>
      </c>
      <c r="Q72" s="692">
        <v>14.63</v>
      </c>
      <c r="R72" s="695">
        <f t="shared" si="53"/>
        <v>2.6300000000000008</v>
      </c>
      <c r="S72" s="690">
        <f t="shared" si="54"/>
        <v>0.21916666666666673</v>
      </c>
    </row>
    <row r="73" spans="1:19" s="691" customFormat="1" ht="15" customHeight="1" x14ac:dyDescent="0.3">
      <c r="A73" s="684" t="s">
        <v>8</v>
      </c>
      <c r="B73" s="692">
        <v>0</v>
      </c>
      <c r="C73" s="693">
        <v>0</v>
      </c>
      <c r="D73" s="692">
        <v>0</v>
      </c>
      <c r="E73" s="692">
        <v>0</v>
      </c>
      <c r="F73" s="694">
        <f t="shared" si="56"/>
        <v>0</v>
      </c>
      <c r="G73" s="692">
        <v>0</v>
      </c>
      <c r="H73" s="695">
        <f t="shared" si="51"/>
        <v>0</v>
      </c>
      <c r="I73" s="690" t="str">
        <f t="shared" si="52"/>
        <v>N/A</v>
      </c>
      <c r="J73" s="723"/>
      <c r="K73" s="684" t="s">
        <v>8</v>
      </c>
      <c r="L73" s="692">
        <v>19.920000000000002</v>
      </c>
      <c r="M73" s="693">
        <v>20</v>
      </c>
      <c r="N73" s="692">
        <v>0</v>
      </c>
      <c r="O73" s="692">
        <v>0</v>
      </c>
      <c r="P73" s="694">
        <f t="shared" si="48"/>
        <v>20</v>
      </c>
      <c r="Q73" s="692">
        <v>25.14</v>
      </c>
      <c r="R73" s="695">
        <f t="shared" si="53"/>
        <v>5.1400000000000006</v>
      </c>
      <c r="S73" s="690">
        <f t="shared" si="54"/>
        <v>0.25700000000000001</v>
      </c>
    </row>
    <row r="74" spans="1:19" s="691" customFormat="1" ht="15" customHeight="1" x14ac:dyDescent="0.3">
      <c r="A74" s="684" t="s">
        <v>9</v>
      </c>
      <c r="B74" s="692">
        <v>49.2</v>
      </c>
      <c r="C74" s="693">
        <v>39.950000000000003</v>
      </c>
      <c r="D74" s="692">
        <v>13.12</v>
      </c>
      <c r="E74" s="692">
        <v>12.52</v>
      </c>
      <c r="F74" s="694">
        <f t="shared" si="56"/>
        <v>65.59</v>
      </c>
      <c r="G74" s="692">
        <v>70.69</v>
      </c>
      <c r="H74" s="695">
        <f t="shared" si="51"/>
        <v>17.619999999999997</v>
      </c>
      <c r="I74" s="690">
        <f t="shared" si="52"/>
        <v>0.33201432070849818</v>
      </c>
      <c r="J74" s="723"/>
      <c r="K74" s="684" t="s">
        <v>9</v>
      </c>
      <c r="L74" s="692">
        <v>0</v>
      </c>
      <c r="M74" s="693">
        <v>0</v>
      </c>
      <c r="N74" s="692">
        <v>0</v>
      </c>
      <c r="O74" s="692">
        <v>0</v>
      </c>
      <c r="P74" s="694">
        <f t="shared" si="48"/>
        <v>0</v>
      </c>
      <c r="Q74" s="692">
        <v>0</v>
      </c>
      <c r="R74" s="695">
        <f t="shared" si="53"/>
        <v>0</v>
      </c>
      <c r="S74" s="690" t="str">
        <f t="shared" si="54"/>
        <v>N/A</v>
      </c>
    </row>
    <row r="75" spans="1:19" s="691" customFormat="1" ht="15" customHeight="1" x14ac:dyDescent="0.3">
      <c r="A75" s="684" t="s">
        <v>12</v>
      </c>
      <c r="B75" s="692">
        <v>17.048999999999999</v>
      </c>
      <c r="C75" s="693">
        <v>7.5</v>
      </c>
      <c r="D75" s="692">
        <v>0</v>
      </c>
      <c r="E75" s="692">
        <v>0</v>
      </c>
      <c r="F75" s="694">
        <f t="shared" si="56"/>
        <v>7.5</v>
      </c>
      <c r="G75" s="692">
        <v>12.5</v>
      </c>
      <c r="H75" s="695">
        <f t="shared" si="51"/>
        <v>5</v>
      </c>
      <c r="I75" s="690">
        <f t="shared" si="52"/>
        <v>0.66666666666666663</v>
      </c>
      <c r="J75" s="723"/>
      <c r="K75" s="684" t="s">
        <v>12</v>
      </c>
      <c r="L75" s="692">
        <v>11.993</v>
      </c>
      <c r="M75" s="693">
        <v>7.5</v>
      </c>
      <c r="N75" s="692">
        <v>8</v>
      </c>
      <c r="O75" s="692">
        <v>0</v>
      </c>
      <c r="P75" s="694">
        <f t="shared" si="48"/>
        <v>15.5</v>
      </c>
      <c r="Q75" s="692">
        <v>12.5</v>
      </c>
      <c r="R75" s="695">
        <f t="shared" si="53"/>
        <v>-3</v>
      </c>
      <c r="S75" s="690">
        <f t="shared" si="54"/>
        <v>-0.19354838709677419</v>
      </c>
    </row>
    <row r="76" spans="1:19" s="691" customFormat="1" ht="15" customHeight="1" x14ac:dyDescent="0.3">
      <c r="A76" s="696" t="s">
        <v>13</v>
      </c>
      <c r="B76" s="699">
        <v>0.14000000000000001</v>
      </c>
      <c r="C76" s="698">
        <v>0</v>
      </c>
      <c r="D76" s="699">
        <v>0</v>
      </c>
      <c r="E76" s="699">
        <v>0</v>
      </c>
      <c r="F76" s="700">
        <f t="shared" si="56"/>
        <v>0</v>
      </c>
      <c r="G76" s="699">
        <v>0</v>
      </c>
      <c r="H76" s="701">
        <f t="shared" si="51"/>
        <v>0</v>
      </c>
      <c r="I76" s="702" t="str">
        <f t="shared" si="52"/>
        <v>N/A</v>
      </c>
      <c r="J76" s="723"/>
      <c r="K76" s="696" t="s">
        <v>13</v>
      </c>
      <c r="L76" s="697">
        <v>0</v>
      </c>
      <c r="M76" s="698">
        <v>0</v>
      </c>
      <c r="N76" s="699">
        <v>2</v>
      </c>
      <c r="O76" s="699">
        <v>0</v>
      </c>
      <c r="P76" s="700">
        <f t="shared" si="48"/>
        <v>2</v>
      </c>
      <c r="Q76" s="699">
        <v>1</v>
      </c>
      <c r="R76" s="701">
        <f t="shared" si="53"/>
        <v>-1</v>
      </c>
      <c r="S76" s="702">
        <f t="shared" si="54"/>
        <v>-0.5</v>
      </c>
    </row>
    <row r="77" spans="1:19" s="691" customFormat="1" ht="15.9" customHeight="1" x14ac:dyDescent="0.3">
      <c r="A77" s="703" t="s">
        <v>527</v>
      </c>
      <c r="B77" s="704">
        <f t="shared" ref="B77" si="57">SUM(B67:B76)</f>
        <v>418.74999999999994</v>
      </c>
      <c r="C77" s="705">
        <f>SUM(C67:C76)</f>
        <v>428.78</v>
      </c>
      <c r="D77" s="704">
        <f t="shared" ref="D77:G77" si="58">SUM(D67:D76)</f>
        <v>43.12</v>
      </c>
      <c r="E77" s="704">
        <f t="shared" si="58"/>
        <v>12.52</v>
      </c>
      <c r="F77" s="706">
        <f t="shared" si="58"/>
        <v>484.41999999999996</v>
      </c>
      <c r="G77" s="705">
        <f t="shared" si="58"/>
        <v>550.51</v>
      </c>
      <c r="H77" s="707">
        <f t="shared" si="51"/>
        <v>78.610000000000014</v>
      </c>
      <c r="I77" s="708">
        <f t="shared" si="52"/>
        <v>0.16658190294553935</v>
      </c>
      <c r="J77" s="724"/>
      <c r="K77" s="703" t="s">
        <v>527</v>
      </c>
      <c r="L77" s="704">
        <f t="shared" ref="L77:N77" si="59">SUM(L67:L76)</f>
        <v>780.96300000000008</v>
      </c>
      <c r="M77" s="705">
        <f t="shared" si="59"/>
        <v>794.07</v>
      </c>
      <c r="N77" s="704">
        <f t="shared" si="59"/>
        <v>50</v>
      </c>
      <c r="O77" s="704">
        <f>SUM(O67:O76)</f>
        <v>0</v>
      </c>
      <c r="P77" s="706">
        <f t="shared" ref="P77:Q77" si="60">SUM(P67:P76)</f>
        <v>844.07</v>
      </c>
      <c r="Q77" s="705">
        <f t="shared" si="60"/>
        <v>1035.06</v>
      </c>
      <c r="R77" s="707">
        <f t="shared" si="53"/>
        <v>190.9899999999999</v>
      </c>
      <c r="S77" s="708">
        <f t="shared" si="54"/>
        <v>0.22627270250097728</v>
      </c>
    </row>
    <row r="78" spans="1:19" s="691" customFormat="1" ht="15.9" customHeight="1" x14ac:dyDescent="0.3">
      <c r="A78" s="714" t="s">
        <v>30</v>
      </c>
      <c r="B78" s="709">
        <v>0</v>
      </c>
      <c r="C78" s="710">
        <v>0</v>
      </c>
      <c r="D78" s="709">
        <v>0</v>
      </c>
      <c r="E78" s="709">
        <v>0</v>
      </c>
      <c r="F78" s="711">
        <f t="shared" si="56"/>
        <v>0</v>
      </c>
      <c r="G78" s="709">
        <v>0</v>
      </c>
      <c r="H78" s="712">
        <f t="shared" si="51"/>
        <v>0</v>
      </c>
      <c r="I78" s="713" t="str">
        <f t="shared" si="52"/>
        <v>N/A</v>
      </c>
      <c r="J78" s="724"/>
      <c r="K78" s="714" t="s">
        <v>30</v>
      </c>
      <c r="L78" s="709">
        <v>0</v>
      </c>
      <c r="M78" s="710">
        <v>0</v>
      </c>
      <c r="N78" s="709"/>
      <c r="O78" s="709"/>
      <c r="P78" s="711">
        <f>SUM(M78:O78)</f>
        <v>0</v>
      </c>
      <c r="Q78" s="709"/>
      <c r="R78" s="712">
        <f t="shared" si="53"/>
        <v>0</v>
      </c>
      <c r="S78" s="713" t="str">
        <f t="shared" si="54"/>
        <v>N/A</v>
      </c>
    </row>
    <row r="79" spans="1:19" s="91" customFormat="1" ht="15.9" customHeight="1" thickBot="1" x14ac:dyDescent="0.35">
      <c r="A79" s="715" t="s">
        <v>528</v>
      </c>
      <c r="B79" s="716">
        <f>SUM(B77:B78)</f>
        <v>418.74999999999994</v>
      </c>
      <c r="C79" s="717">
        <f>SUM(C77:C78)</f>
        <v>428.78</v>
      </c>
      <c r="D79" s="716">
        <f t="shared" ref="D79:G79" si="61">SUM(D77:D78)</f>
        <v>43.12</v>
      </c>
      <c r="E79" s="716">
        <f t="shared" si="61"/>
        <v>12.52</v>
      </c>
      <c r="F79" s="718">
        <f t="shared" si="61"/>
        <v>484.41999999999996</v>
      </c>
      <c r="G79" s="716">
        <f t="shared" si="61"/>
        <v>550.51</v>
      </c>
      <c r="H79" s="719">
        <f t="shared" si="51"/>
        <v>78.610000000000014</v>
      </c>
      <c r="I79" s="720">
        <f t="shared" si="52"/>
        <v>0.16658190294553935</v>
      </c>
      <c r="J79" s="725"/>
      <c r="K79" s="715" t="s">
        <v>528</v>
      </c>
      <c r="L79" s="716">
        <f t="shared" ref="L79:Q79" si="62">SUM(L77:L78)</f>
        <v>780.96300000000008</v>
      </c>
      <c r="M79" s="717">
        <f t="shared" si="62"/>
        <v>794.07</v>
      </c>
      <c r="N79" s="716">
        <f t="shared" si="62"/>
        <v>50</v>
      </c>
      <c r="O79" s="716">
        <f t="shared" si="62"/>
        <v>0</v>
      </c>
      <c r="P79" s="718">
        <f t="shared" si="62"/>
        <v>844.07</v>
      </c>
      <c r="Q79" s="716">
        <f t="shared" si="62"/>
        <v>1035.06</v>
      </c>
      <c r="R79" s="719">
        <f t="shared" si="53"/>
        <v>190.9899999999999</v>
      </c>
      <c r="S79" s="720">
        <f t="shared" si="54"/>
        <v>0.22627270250097728</v>
      </c>
    </row>
    <row r="80" spans="1:19" s="691" customFormat="1" ht="15.9" customHeight="1" x14ac:dyDescent="0.3">
      <c r="A80" s="831"/>
      <c r="B80" s="831"/>
      <c r="C80" s="831"/>
      <c r="D80" s="831"/>
      <c r="E80" s="831"/>
      <c r="F80" s="831"/>
      <c r="G80" s="831"/>
      <c r="H80" s="831"/>
      <c r="I80" s="831"/>
      <c r="K80" s="831"/>
      <c r="L80" s="831"/>
      <c r="M80" s="831"/>
      <c r="N80" s="831"/>
      <c r="O80" s="831"/>
      <c r="P80" s="831"/>
      <c r="Q80" s="831"/>
      <c r="R80" s="831"/>
      <c r="S80" s="831"/>
    </row>
    <row r="82" spans="1:24" ht="13.8" thickBot="1" x14ac:dyDescent="0.35"/>
    <row r="83" spans="1:24" ht="30" customHeight="1" x14ac:dyDescent="0.3">
      <c r="A83" s="672"/>
      <c r="B83" s="840" t="s">
        <v>534</v>
      </c>
      <c r="C83" s="841"/>
      <c r="D83" s="841"/>
      <c r="E83" s="841"/>
      <c r="F83" s="841"/>
      <c r="G83" s="841"/>
      <c r="H83" s="841"/>
      <c r="I83" s="842"/>
      <c r="J83" s="675"/>
      <c r="K83" s="672"/>
      <c r="L83" s="840" t="s">
        <v>535</v>
      </c>
      <c r="M83" s="841"/>
      <c r="N83" s="841"/>
      <c r="O83" s="841"/>
      <c r="P83" s="841"/>
      <c r="Q83" s="841"/>
      <c r="R83" s="841"/>
      <c r="S83" s="842"/>
    </row>
    <row r="84" spans="1:24" ht="44.25" customHeight="1" x14ac:dyDescent="0.3">
      <c r="A84" s="673"/>
      <c r="B84" s="865" t="s">
        <v>965</v>
      </c>
      <c r="C84" s="832" t="s">
        <v>964</v>
      </c>
      <c r="D84" s="834" t="s">
        <v>960</v>
      </c>
      <c r="E84" s="834"/>
      <c r="F84" s="862" t="s">
        <v>963</v>
      </c>
      <c r="G84" s="864" t="s">
        <v>959</v>
      </c>
      <c r="H84" s="857" t="s">
        <v>968</v>
      </c>
      <c r="I84" s="858"/>
      <c r="J84" s="675"/>
      <c r="K84" s="673"/>
      <c r="L84" s="865" t="s">
        <v>965</v>
      </c>
      <c r="M84" s="832" t="s">
        <v>964</v>
      </c>
      <c r="N84" s="834" t="s">
        <v>960</v>
      </c>
      <c r="O84" s="834"/>
      <c r="P84" s="862" t="s">
        <v>963</v>
      </c>
      <c r="Q84" s="864" t="s">
        <v>959</v>
      </c>
      <c r="R84" s="857" t="s">
        <v>968</v>
      </c>
      <c r="S84" s="858"/>
    </row>
    <row r="85" spans="1:24" ht="15" customHeight="1" x14ac:dyDescent="0.3">
      <c r="A85" s="673"/>
      <c r="B85" s="866"/>
      <c r="C85" s="832"/>
      <c r="D85" s="835" t="s">
        <v>962</v>
      </c>
      <c r="E85" s="835" t="s">
        <v>967</v>
      </c>
      <c r="F85" s="862"/>
      <c r="G85" s="835"/>
      <c r="H85" s="859"/>
      <c r="I85" s="860"/>
      <c r="J85" s="676"/>
      <c r="K85" s="673"/>
      <c r="L85" s="866"/>
      <c r="M85" s="832"/>
      <c r="N85" s="835" t="s">
        <v>962</v>
      </c>
      <c r="O85" s="835" t="s">
        <v>967</v>
      </c>
      <c r="P85" s="862"/>
      <c r="Q85" s="835"/>
      <c r="R85" s="859"/>
      <c r="S85" s="860"/>
    </row>
    <row r="86" spans="1:24" ht="15" customHeight="1" x14ac:dyDescent="0.3">
      <c r="A86" s="674"/>
      <c r="B86" s="867"/>
      <c r="C86" s="833"/>
      <c r="D86" s="797"/>
      <c r="E86" s="797"/>
      <c r="F86" s="863"/>
      <c r="G86" s="797"/>
      <c r="H86" s="682" t="s">
        <v>377</v>
      </c>
      <c r="I86" s="683" t="s">
        <v>378</v>
      </c>
      <c r="J86" s="677"/>
      <c r="K86" s="674"/>
      <c r="L86" s="867"/>
      <c r="M86" s="833"/>
      <c r="N86" s="797"/>
      <c r="O86" s="797"/>
      <c r="P86" s="863"/>
      <c r="Q86" s="797"/>
      <c r="R86" s="682" t="s">
        <v>377</v>
      </c>
      <c r="S86" s="683" t="s">
        <v>378</v>
      </c>
    </row>
    <row r="87" spans="1:24" s="691" customFormat="1" ht="15" customHeight="1" x14ac:dyDescent="0.3">
      <c r="A87" s="684" t="s">
        <v>0</v>
      </c>
      <c r="B87" s="685">
        <v>39.950000000000003</v>
      </c>
      <c r="C87" s="686">
        <v>39.950000000000003</v>
      </c>
      <c r="D87" s="687">
        <v>0</v>
      </c>
      <c r="E87" s="687">
        <v>0</v>
      </c>
      <c r="F87" s="688">
        <f t="shared" ref="F87:F96" si="63">SUM(C87:E87)</f>
        <v>39.950000000000003</v>
      </c>
      <c r="G87" s="685">
        <v>39.950000000000003</v>
      </c>
      <c r="H87" s="689">
        <f t="shared" ref="H87" si="64">G87-(C87+D87)</f>
        <v>0</v>
      </c>
      <c r="I87" s="690">
        <f t="shared" ref="I87" si="65">IFERROR(H87/(C87+D87), "N/A")</f>
        <v>0</v>
      </c>
      <c r="J87" s="690"/>
      <c r="K87" s="684" t="s">
        <v>0</v>
      </c>
      <c r="L87" s="685">
        <v>79</v>
      </c>
      <c r="M87" s="686">
        <v>79</v>
      </c>
      <c r="N87" s="687">
        <v>0</v>
      </c>
      <c r="O87" s="687">
        <v>0</v>
      </c>
      <c r="P87" s="688">
        <f>SUM(M87:O87)</f>
        <v>79</v>
      </c>
      <c r="Q87" s="685">
        <v>81.5</v>
      </c>
      <c r="R87" s="689">
        <f t="shared" ref="R87" si="66">Q87-(M87+N87)</f>
        <v>2.5</v>
      </c>
      <c r="S87" s="690">
        <f t="shared" ref="S87" si="67">IFERROR(R87/(M87+N87), "N/A")</f>
        <v>3.1645569620253167E-2</v>
      </c>
    </row>
    <row r="88" spans="1:24" s="691" customFormat="1" ht="15" customHeight="1" x14ac:dyDescent="0.3">
      <c r="A88" s="684" t="s">
        <v>1</v>
      </c>
      <c r="B88" s="692">
        <v>15.624000000000001</v>
      </c>
      <c r="C88" s="693">
        <v>14.05</v>
      </c>
      <c r="D88" s="692">
        <v>0</v>
      </c>
      <c r="E88" s="692">
        <v>0</v>
      </c>
      <c r="F88" s="694">
        <f t="shared" si="63"/>
        <v>14.05</v>
      </c>
      <c r="G88" s="692">
        <v>14.05</v>
      </c>
      <c r="H88" s="689">
        <f t="shared" ref="H88:H99" si="68">G88-(C88+D88)</f>
        <v>0</v>
      </c>
      <c r="I88" s="690">
        <f t="shared" ref="I88:I99" si="69">IFERROR(H88/(C88+D88), "N/A")</f>
        <v>0</v>
      </c>
      <c r="J88" s="690"/>
      <c r="K88" s="684" t="s">
        <v>1</v>
      </c>
      <c r="L88" s="692">
        <v>1015.57</v>
      </c>
      <c r="M88" s="693">
        <v>1010.57</v>
      </c>
      <c r="N88" s="692">
        <v>40</v>
      </c>
      <c r="O88" s="692">
        <v>0</v>
      </c>
      <c r="P88" s="694">
        <f t="shared" ref="P88:P96" si="70">SUM(M88:O88)</f>
        <v>1050.5700000000002</v>
      </c>
      <c r="Q88" s="692">
        <v>1172.1400000000001</v>
      </c>
      <c r="R88" s="695">
        <f t="shared" ref="R88:R99" si="71">Q88-(M88+N88)</f>
        <v>121.56999999999994</v>
      </c>
      <c r="S88" s="690">
        <f t="shared" ref="S88:S99" si="72">IFERROR(R88/(M88+N88), "N/A")</f>
        <v>0.1157181339653711</v>
      </c>
    </row>
    <row r="89" spans="1:24" s="691" customFormat="1" ht="15" customHeight="1" x14ac:dyDescent="0.3">
      <c r="A89" s="684" t="s">
        <v>2</v>
      </c>
      <c r="B89" s="692">
        <v>267.13</v>
      </c>
      <c r="C89" s="693">
        <v>190.95</v>
      </c>
      <c r="D89" s="692">
        <v>0</v>
      </c>
      <c r="E89" s="692">
        <v>0</v>
      </c>
      <c r="F89" s="694">
        <f t="shared" si="63"/>
        <v>190.95</v>
      </c>
      <c r="G89" s="692">
        <v>231.75</v>
      </c>
      <c r="H89" s="689">
        <f t="shared" si="68"/>
        <v>40.800000000000011</v>
      </c>
      <c r="I89" s="690">
        <f t="shared" si="69"/>
        <v>0.21366849960722709</v>
      </c>
      <c r="J89" s="690"/>
      <c r="K89" s="684" t="s">
        <v>2</v>
      </c>
      <c r="L89" s="692">
        <v>167.42</v>
      </c>
      <c r="M89" s="693">
        <v>156.44999999999999</v>
      </c>
      <c r="N89" s="692">
        <v>0</v>
      </c>
      <c r="O89" s="692">
        <v>0</v>
      </c>
      <c r="P89" s="694">
        <f t="shared" si="70"/>
        <v>156.44999999999999</v>
      </c>
      <c r="Q89" s="692">
        <v>179.26</v>
      </c>
      <c r="R89" s="695">
        <f t="shared" si="71"/>
        <v>22.810000000000002</v>
      </c>
      <c r="S89" s="690">
        <f t="shared" si="72"/>
        <v>0.14579737935442635</v>
      </c>
    </row>
    <row r="90" spans="1:24" s="691" customFormat="1" ht="15" customHeight="1" x14ac:dyDescent="0.3">
      <c r="A90" s="684" t="s">
        <v>961</v>
      </c>
      <c r="B90" s="692">
        <v>0</v>
      </c>
      <c r="C90" s="693">
        <v>0</v>
      </c>
      <c r="D90" s="692">
        <v>0</v>
      </c>
      <c r="E90" s="692">
        <v>0</v>
      </c>
      <c r="F90" s="694">
        <f t="shared" si="63"/>
        <v>0</v>
      </c>
      <c r="G90" s="692">
        <v>0</v>
      </c>
      <c r="H90" s="689">
        <f t="shared" si="68"/>
        <v>0</v>
      </c>
      <c r="I90" s="690" t="str">
        <f t="shared" si="69"/>
        <v>N/A</v>
      </c>
      <c r="J90" s="690"/>
      <c r="K90" s="684" t="s">
        <v>961</v>
      </c>
      <c r="L90" s="692">
        <v>23</v>
      </c>
      <c r="M90" s="693">
        <v>27</v>
      </c>
      <c r="N90" s="692">
        <v>0</v>
      </c>
      <c r="O90" s="692">
        <v>0</v>
      </c>
      <c r="P90" s="694">
        <f t="shared" si="70"/>
        <v>27</v>
      </c>
      <c r="Q90" s="692">
        <v>30</v>
      </c>
      <c r="R90" s="695">
        <f t="shared" si="71"/>
        <v>3</v>
      </c>
      <c r="S90" s="690">
        <f t="shared" si="72"/>
        <v>0.1111111111111111</v>
      </c>
    </row>
    <row r="91" spans="1:24" s="691" customFormat="1" ht="15" customHeight="1" x14ac:dyDescent="0.3">
      <c r="A91" s="684" t="s">
        <v>940</v>
      </c>
      <c r="B91" s="692">
        <v>0</v>
      </c>
      <c r="C91" s="693">
        <v>0</v>
      </c>
      <c r="D91" s="692">
        <v>0</v>
      </c>
      <c r="E91" s="692">
        <v>0</v>
      </c>
      <c r="F91" s="694">
        <f t="shared" si="63"/>
        <v>0</v>
      </c>
      <c r="G91" s="692">
        <v>0</v>
      </c>
      <c r="H91" s="689">
        <f t="shared" si="68"/>
        <v>0</v>
      </c>
      <c r="I91" s="690" t="str">
        <f t="shared" si="69"/>
        <v>N/A</v>
      </c>
      <c r="J91" s="690"/>
      <c r="K91" s="684" t="s">
        <v>940</v>
      </c>
      <c r="L91" s="692">
        <v>0</v>
      </c>
      <c r="M91" s="693">
        <v>0</v>
      </c>
      <c r="N91" s="692">
        <v>0</v>
      </c>
      <c r="O91" s="692">
        <v>0</v>
      </c>
      <c r="P91" s="694">
        <f>SUM(M91:O91)</f>
        <v>0</v>
      </c>
      <c r="Q91" s="692">
        <v>0</v>
      </c>
      <c r="R91" s="695">
        <f t="shared" si="71"/>
        <v>0</v>
      </c>
      <c r="S91" s="690" t="str">
        <f t="shared" si="72"/>
        <v>N/A</v>
      </c>
    </row>
    <row r="92" spans="1:24" s="691" customFormat="1" ht="15" customHeight="1" x14ac:dyDescent="0.3">
      <c r="A92" s="684" t="s">
        <v>7</v>
      </c>
      <c r="B92" s="692">
        <v>206.17</v>
      </c>
      <c r="C92" s="693">
        <v>126</v>
      </c>
      <c r="D92" s="692">
        <v>0</v>
      </c>
      <c r="E92" s="692">
        <v>0</v>
      </c>
      <c r="F92" s="694">
        <f t="shared" si="63"/>
        <v>126</v>
      </c>
      <c r="G92" s="692">
        <v>126</v>
      </c>
      <c r="H92" s="689">
        <f t="shared" si="68"/>
        <v>0</v>
      </c>
      <c r="I92" s="690">
        <f t="shared" si="69"/>
        <v>0</v>
      </c>
      <c r="J92" s="690"/>
      <c r="K92" s="684" t="s">
        <v>7</v>
      </c>
      <c r="L92" s="692">
        <v>345.76</v>
      </c>
      <c r="M92" s="693">
        <v>224.15</v>
      </c>
      <c r="N92" s="692">
        <v>0</v>
      </c>
      <c r="O92" s="692">
        <v>0</v>
      </c>
      <c r="P92" s="694">
        <f t="shared" si="70"/>
        <v>224.15</v>
      </c>
      <c r="Q92" s="692">
        <v>239.34</v>
      </c>
      <c r="R92" s="695">
        <f t="shared" si="71"/>
        <v>15.189999999999998</v>
      </c>
      <c r="S92" s="690">
        <f t="shared" si="72"/>
        <v>6.7767120231987499E-2</v>
      </c>
    </row>
    <row r="93" spans="1:24" s="691" customFormat="1" ht="15" customHeight="1" x14ac:dyDescent="0.3">
      <c r="A93" s="684" t="s">
        <v>8</v>
      </c>
      <c r="B93" s="692">
        <v>0.4</v>
      </c>
      <c r="C93" s="693">
        <v>0.4</v>
      </c>
      <c r="D93" s="692">
        <v>0</v>
      </c>
      <c r="E93" s="692">
        <v>0</v>
      </c>
      <c r="F93" s="694">
        <f t="shared" si="63"/>
        <v>0.4</v>
      </c>
      <c r="G93" s="692">
        <v>0.4</v>
      </c>
      <c r="H93" s="689">
        <f t="shared" si="68"/>
        <v>0</v>
      </c>
      <c r="I93" s="690">
        <f t="shared" si="69"/>
        <v>0</v>
      </c>
      <c r="J93" s="690"/>
      <c r="K93" s="684" t="s">
        <v>8</v>
      </c>
      <c r="L93" s="692">
        <v>41.89</v>
      </c>
      <c r="M93" s="693">
        <v>30.94</v>
      </c>
      <c r="N93" s="692">
        <v>2</v>
      </c>
      <c r="O93" s="692">
        <v>0</v>
      </c>
      <c r="P93" s="694">
        <f t="shared" si="70"/>
        <v>32.94</v>
      </c>
      <c r="Q93" s="692">
        <v>38.94</v>
      </c>
      <c r="R93" s="695">
        <f t="shared" si="71"/>
        <v>6</v>
      </c>
      <c r="S93" s="690">
        <f t="shared" si="72"/>
        <v>0.18214936247723135</v>
      </c>
    </row>
    <row r="94" spans="1:24" s="691" customFormat="1" ht="15" customHeight="1" x14ac:dyDescent="0.3">
      <c r="A94" s="684" t="s">
        <v>9</v>
      </c>
      <c r="B94" s="692">
        <v>4.9000000000000004</v>
      </c>
      <c r="C94" s="693">
        <v>5.15</v>
      </c>
      <c r="D94" s="692">
        <v>2.5099999999999998</v>
      </c>
      <c r="E94" s="692">
        <v>2.39</v>
      </c>
      <c r="F94" s="694">
        <f t="shared" si="63"/>
        <v>10.050000000000001</v>
      </c>
      <c r="G94" s="692">
        <v>13.54</v>
      </c>
      <c r="H94" s="689">
        <f t="shared" si="68"/>
        <v>5.879999999999999</v>
      </c>
      <c r="I94" s="690">
        <f t="shared" si="69"/>
        <v>0.7676240208877283</v>
      </c>
      <c r="J94" s="690"/>
      <c r="K94" s="684" t="s">
        <v>9</v>
      </c>
      <c r="L94" s="692">
        <v>224.1</v>
      </c>
      <c r="M94" s="693">
        <v>196.13</v>
      </c>
      <c r="N94" s="692">
        <v>95.91</v>
      </c>
      <c r="O94" s="692">
        <v>91.53</v>
      </c>
      <c r="P94" s="694">
        <f t="shared" si="70"/>
        <v>383.56999999999994</v>
      </c>
      <c r="Q94" s="692">
        <v>516.76</v>
      </c>
      <c r="R94" s="695">
        <f t="shared" si="71"/>
        <v>224.72000000000003</v>
      </c>
      <c r="S94" s="690">
        <f t="shared" si="72"/>
        <v>0.76948363237912631</v>
      </c>
    </row>
    <row r="95" spans="1:24" s="691" customFormat="1" ht="15" customHeight="1" x14ac:dyDescent="0.3">
      <c r="A95" s="684" t="s">
        <v>12</v>
      </c>
      <c r="B95" s="692">
        <v>0.1</v>
      </c>
      <c r="C95" s="693">
        <v>0.1</v>
      </c>
      <c r="D95" s="692">
        <v>0</v>
      </c>
      <c r="E95" s="692">
        <v>0</v>
      </c>
      <c r="F95" s="694">
        <f t="shared" si="63"/>
        <v>0.1</v>
      </c>
      <c r="G95" s="692">
        <v>0.1</v>
      </c>
      <c r="H95" s="689">
        <f t="shared" si="68"/>
        <v>0</v>
      </c>
      <c r="I95" s="690">
        <f t="shared" si="69"/>
        <v>0</v>
      </c>
      <c r="J95" s="690"/>
      <c r="K95" s="684" t="s">
        <v>12</v>
      </c>
      <c r="L95" s="692">
        <v>0</v>
      </c>
      <c r="M95" s="693">
        <v>0</v>
      </c>
      <c r="N95" s="692">
        <v>0</v>
      </c>
      <c r="O95" s="692">
        <v>0</v>
      </c>
      <c r="P95" s="694">
        <f t="shared" si="70"/>
        <v>0</v>
      </c>
      <c r="Q95" s="692">
        <v>0</v>
      </c>
      <c r="R95" s="695">
        <f t="shared" si="71"/>
        <v>0</v>
      </c>
      <c r="S95" s="690" t="str">
        <f t="shared" si="72"/>
        <v>N/A</v>
      </c>
      <c r="X95" s="691" t="s">
        <v>560</v>
      </c>
    </row>
    <row r="96" spans="1:24" s="691" customFormat="1" ht="15" customHeight="1" x14ac:dyDescent="0.3">
      <c r="A96" s="696" t="s">
        <v>13</v>
      </c>
      <c r="B96" s="697">
        <v>0</v>
      </c>
      <c r="C96" s="698">
        <v>0</v>
      </c>
      <c r="D96" s="699">
        <v>0</v>
      </c>
      <c r="E96" s="699">
        <v>0</v>
      </c>
      <c r="F96" s="700">
        <f t="shared" si="63"/>
        <v>0</v>
      </c>
      <c r="G96" s="699">
        <v>0</v>
      </c>
      <c r="H96" s="726">
        <f t="shared" si="68"/>
        <v>0</v>
      </c>
      <c r="I96" s="702" t="str">
        <f t="shared" si="69"/>
        <v>N/A</v>
      </c>
      <c r="J96" s="690"/>
      <c r="K96" s="696" t="s">
        <v>13</v>
      </c>
      <c r="L96" s="697">
        <v>14.3</v>
      </c>
      <c r="M96" s="698">
        <v>1</v>
      </c>
      <c r="N96" s="699">
        <v>0</v>
      </c>
      <c r="O96" s="699">
        <v>0</v>
      </c>
      <c r="P96" s="700">
        <f t="shared" si="70"/>
        <v>1</v>
      </c>
      <c r="Q96" s="699">
        <v>1</v>
      </c>
      <c r="R96" s="701">
        <f t="shared" si="71"/>
        <v>0</v>
      </c>
      <c r="S96" s="702">
        <f t="shared" si="72"/>
        <v>0</v>
      </c>
    </row>
    <row r="97" spans="1:19" s="691" customFormat="1" ht="15.9" customHeight="1" x14ac:dyDescent="0.3">
      <c r="A97" s="703" t="s">
        <v>527</v>
      </c>
      <c r="B97" s="704">
        <f t="shared" ref="B97:G97" si="73">SUM(B87:B96)</f>
        <v>534.274</v>
      </c>
      <c r="C97" s="705">
        <f t="shared" si="73"/>
        <v>376.59999999999997</v>
      </c>
      <c r="D97" s="704">
        <f t="shared" si="73"/>
        <v>2.5099999999999998</v>
      </c>
      <c r="E97" s="704">
        <f t="shared" si="73"/>
        <v>2.39</v>
      </c>
      <c r="F97" s="706">
        <f t="shared" si="73"/>
        <v>381.5</v>
      </c>
      <c r="G97" s="705">
        <f t="shared" si="73"/>
        <v>425.79</v>
      </c>
      <c r="H97" s="707">
        <f t="shared" si="68"/>
        <v>46.680000000000064</v>
      </c>
      <c r="I97" s="708">
        <f t="shared" si="69"/>
        <v>0.12313048983144752</v>
      </c>
      <c r="J97" s="708"/>
      <c r="K97" s="703" t="s">
        <v>527</v>
      </c>
      <c r="L97" s="704">
        <f t="shared" ref="L97:Q97" si="74">SUM(L87:L96)</f>
        <v>1911.0400000000002</v>
      </c>
      <c r="M97" s="705">
        <f t="shared" si="74"/>
        <v>1725.2400000000002</v>
      </c>
      <c r="N97" s="704">
        <f t="shared" si="74"/>
        <v>137.91</v>
      </c>
      <c r="O97" s="704">
        <f t="shared" si="74"/>
        <v>91.53</v>
      </c>
      <c r="P97" s="706">
        <f t="shared" si="74"/>
        <v>1954.6800000000003</v>
      </c>
      <c r="Q97" s="705">
        <f t="shared" si="74"/>
        <v>2258.94</v>
      </c>
      <c r="R97" s="707">
        <f t="shared" si="71"/>
        <v>395.78999999999974</v>
      </c>
      <c r="S97" s="708">
        <f t="shared" si="72"/>
        <v>0.21243056114644535</v>
      </c>
    </row>
    <row r="98" spans="1:19" s="691" customFormat="1" ht="15.9" customHeight="1" x14ac:dyDescent="0.3">
      <c r="A98" s="714" t="s">
        <v>30</v>
      </c>
      <c r="B98" s="709">
        <v>10.85</v>
      </c>
      <c r="C98" s="710">
        <v>2.5</v>
      </c>
      <c r="D98" s="709">
        <v>0</v>
      </c>
      <c r="E98" s="709">
        <v>0</v>
      </c>
      <c r="F98" s="711">
        <f t="shared" ref="F98" si="75">SUM(C98:E98)</f>
        <v>2.5</v>
      </c>
      <c r="G98" s="709">
        <v>2.5</v>
      </c>
      <c r="H98" s="712">
        <f t="shared" si="68"/>
        <v>0</v>
      </c>
      <c r="I98" s="713">
        <f t="shared" si="69"/>
        <v>0</v>
      </c>
      <c r="J98" s="708"/>
      <c r="K98" s="714" t="s">
        <v>30</v>
      </c>
      <c r="L98" s="709">
        <v>17.649999999999999</v>
      </c>
      <c r="M98" s="710">
        <v>22.09</v>
      </c>
      <c r="N98" s="709">
        <v>0</v>
      </c>
      <c r="O98" s="709">
        <v>0</v>
      </c>
      <c r="P98" s="711">
        <f t="shared" ref="P98" si="76">SUM(M98:O98)</f>
        <v>22.09</v>
      </c>
      <c r="Q98" s="709">
        <v>22.09</v>
      </c>
      <c r="R98" s="712">
        <f t="shared" si="71"/>
        <v>0</v>
      </c>
      <c r="S98" s="713">
        <f t="shared" si="72"/>
        <v>0</v>
      </c>
    </row>
    <row r="99" spans="1:19" s="91" customFormat="1" ht="15.9" customHeight="1" thickBot="1" x14ac:dyDescent="0.35">
      <c r="A99" s="715" t="s">
        <v>528</v>
      </c>
      <c r="B99" s="716">
        <f>SUM(B97:B98)</f>
        <v>545.12400000000002</v>
      </c>
      <c r="C99" s="717">
        <f t="shared" ref="C99:G99" si="77">SUM(C97:C98)</f>
        <v>379.09999999999997</v>
      </c>
      <c r="D99" s="716">
        <f t="shared" si="77"/>
        <v>2.5099999999999998</v>
      </c>
      <c r="E99" s="716">
        <f t="shared" si="77"/>
        <v>2.39</v>
      </c>
      <c r="F99" s="718">
        <f t="shared" si="77"/>
        <v>384</v>
      </c>
      <c r="G99" s="716">
        <f t="shared" si="77"/>
        <v>428.29</v>
      </c>
      <c r="H99" s="719">
        <f t="shared" si="68"/>
        <v>46.680000000000064</v>
      </c>
      <c r="I99" s="720">
        <f t="shared" si="69"/>
        <v>0.12232383847383473</v>
      </c>
      <c r="J99" s="721"/>
      <c r="K99" s="715" t="s">
        <v>528</v>
      </c>
      <c r="L99" s="716">
        <f t="shared" ref="L99:Q99" si="78">SUM(L97:L98)</f>
        <v>1928.6900000000003</v>
      </c>
      <c r="M99" s="717">
        <f t="shared" si="78"/>
        <v>1747.3300000000002</v>
      </c>
      <c r="N99" s="716">
        <f t="shared" si="78"/>
        <v>137.91</v>
      </c>
      <c r="O99" s="716">
        <f t="shared" si="78"/>
        <v>91.53</v>
      </c>
      <c r="P99" s="718">
        <f t="shared" si="78"/>
        <v>1976.7700000000002</v>
      </c>
      <c r="Q99" s="716">
        <f t="shared" si="78"/>
        <v>2281.0300000000002</v>
      </c>
      <c r="R99" s="719">
        <f t="shared" si="71"/>
        <v>395.78999999999996</v>
      </c>
      <c r="S99" s="720">
        <f t="shared" si="72"/>
        <v>0.20994143981668112</v>
      </c>
    </row>
    <row r="100" spans="1:19" s="691" customFormat="1" ht="15.9" customHeight="1" x14ac:dyDescent="0.3">
      <c r="A100" s="831" t="s">
        <v>966</v>
      </c>
      <c r="B100" s="831"/>
      <c r="C100" s="831"/>
      <c r="D100" s="831"/>
      <c r="E100" s="831"/>
      <c r="F100" s="831"/>
      <c r="G100" s="831"/>
      <c r="H100" s="831"/>
      <c r="I100" s="831"/>
      <c r="K100" s="861" t="s">
        <v>560</v>
      </c>
      <c r="L100" s="831"/>
      <c r="M100" s="831"/>
      <c r="N100" s="831"/>
      <c r="O100" s="831"/>
      <c r="P100" s="831"/>
      <c r="Q100" s="831"/>
      <c r="R100" s="831"/>
      <c r="S100" s="831"/>
    </row>
  </sheetData>
  <mergeCells count="104">
    <mergeCell ref="A100:I100"/>
    <mergeCell ref="K100:S100"/>
    <mergeCell ref="D85:D86"/>
    <mergeCell ref="E85:E86"/>
    <mergeCell ref="N85:N86"/>
    <mergeCell ref="O85:O86"/>
    <mergeCell ref="L84:L86"/>
    <mergeCell ref="M84:M86"/>
    <mergeCell ref="N84:O84"/>
    <mergeCell ref="P84:P86"/>
    <mergeCell ref="Q84:Q86"/>
    <mergeCell ref="A80:I80"/>
    <mergeCell ref="K80:S80"/>
    <mergeCell ref="B83:I83"/>
    <mergeCell ref="L83:S83"/>
    <mergeCell ref="B84:B86"/>
    <mergeCell ref="C84:C86"/>
    <mergeCell ref="D84:E84"/>
    <mergeCell ref="F84:F86"/>
    <mergeCell ref="G84:G86"/>
    <mergeCell ref="R84:S85"/>
    <mergeCell ref="H84:I85"/>
    <mergeCell ref="P45:P47"/>
    <mergeCell ref="Q45:Q47"/>
    <mergeCell ref="N46:N47"/>
    <mergeCell ref="Q64:Q66"/>
    <mergeCell ref="R45:S46"/>
    <mergeCell ref="R64:S65"/>
    <mergeCell ref="A61:I61"/>
    <mergeCell ref="K61:S61"/>
    <mergeCell ref="B63:I63"/>
    <mergeCell ref="L63:S63"/>
    <mergeCell ref="B64:B66"/>
    <mergeCell ref="C64:C66"/>
    <mergeCell ref="D64:E64"/>
    <mergeCell ref="F64:F66"/>
    <mergeCell ref="G64:G66"/>
    <mergeCell ref="D65:D66"/>
    <mergeCell ref="E65:E66"/>
    <mergeCell ref="N65:N66"/>
    <mergeCell ref="O65:O66"/>
    <mergeCell ref="L64:L66"/>
    <mergeCell ref="M64:M66"/>
    <mergeCell ref="N64:O64"/>
    <mergeCell ref="P64:P66"/>
    <mergeCell ref="H64:I65"/>
    <mergeCell ref="O27:O28"/>
    <mergeCell ref="B45:B47"/>
    <mergeCell ref="C45:C47"/>
    <mergeCell ref="D45:E45"/>
    <mergeCell ref="F45:F47"/>
    <mergeCell ref="G45:G47"/>
    <mergeCell ref="D46:D47"/>
    <mergeCell ref="E46:E47"/>
    <mergeCell ref="H45:I46"/>
    <mergeCell ref="L45:L47"/>
    <mergeCell ref="A23:I23"/>
    <mergeCell ref="H7:I8"/>
    <mergeCell ref="R7:S8"/>
    <mergeCell ref="R26:S27"/>
    <mergeCell ref="H26:I27"/>
    <mergeCell ref="A42:I42"/>
    <mergeCell ref="K42:S42"/>
    <mergeCell ref="B44:I44"/>
    <mergeCell ref="L44:S44"/>
    <mergeCell ref="M26:M28"/>
    <mergeCell ref="N26:O26"/>
    <mergeCell ref="P26:P28"/>
    <mergeCell ref="Q26:Q28"/>
    <mergeCell ref="D27:D28"/>
    <mergeCell ref="E27:E28"/>
    <mergeCell ref="N27:N28"/>
    <mergeCell ref="B25:I25"/>
    <mergeCell ref="L25:S25"/>
    <mergeCell ref="B26:B28"/>
    <mergeCell ref="C26:C28"/>
    <mergeCell ref="D26:E26"/>
    <mergeCell ref="F26:F28"/>
    <mergeCell ref="G26:G28"/>
    <mergeCell ref="L26:L28"/>
    <mergeCell ref="K23:S23"/>
    <mergeCell ref="M45:M47"/>
    <mergeCell ref="N45:O45"/>
    <mergeCell ref="O46:O47"/>
    <mergeCell ref="A1:S1"/>
    <mergeCell ref="A2:S2"/>
    <mergeCell ref="A3:S3"/>
    <mergeCell ref="A4:S4"/>
    <mergeCell ref="Q7:Q9"/>
    <mergeCell ref="B6:I6"/>
    <mergeCell ref="L6:S6"/>
    <mergeCell ref="B7:B9"/>
    <mergeCell ref="C7:C9"/>
    <mergeCell ref="D7:E7"/>
    <mergeCell ref="F7:F9"/>
    <mergeCell ref="G7:G9"/>
    <mergeCell ref="D8:D9"/>
    <mergeCell ref="E8:E9"/>
    <mergeCell ref="N8:N9"/>
    <mergeCell ref="O8:O9"/>
    <mergeCell ref="L7:L9"/>
    <mergeCell ref="M7:M9"/>
    <mergeCell ref="N7:O7"/>
    <mergeCell ref="P7:P9"/>
  </mergeCells>
  <pageMargins left="0.7" right="0.7" top="0.75" bottom="0.75" header="0.3" footer="0.3"/>
  <pageSetup orientation="portrait" horizontalDpi="1200" verticalDpi="1200" r:id="rId1"/>
  <headerFooter differentFirst="1">
    <oddHeader>&amp;C&amp;"Microsoft Sans Serif,Bold"CUI//SP-BUDG</oddHeader>
    <firstHeader>&amp;C&amp;"Microsoft Sans Serif,Bold"CUI//SP-BUDG</firstHeader>
    <firstFooter>&amp;LCUI Contact: cui@nsf.gov</firstFooter>
  </headerFooter>
  <ignoredErrors>
    <ignoredError sqref="H20 P58 F58 F77 F97:G97 P97:Q97" formula="1"/>
    <ignoredError sqref="F10:F11 P11:P12 P15 P17 F12:F19 F29:F38 P29:P38 P40 F40 F48:F57 P48:P57 P59 F59 F67:F76 F78 P67:P76 P78 F87:F96 F98 P87:P96 P98" formulaRange="1"/>
    <ignoredError sqref="P39 F39 P77"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vt:i4>
      </vt:variant>
    </vt:vector>
  </HeadingPairs>
  <TitlesOfParts>
    <vt:vector size="29" baseType="lpstr">
      <vt:lpstr>1-19 Update Summary</vt:lpstr>
      <vt:lpstr>1-20 Update Summary</vt:lpstr>
      <vt:lpstr>Fellows Option</vt:lpstr>
      <vt:lpstr>Dir. Strat. Initiatives</vt:lpstr>
      <vt:lpstr>Other Cong. Direction</vt:lpstr>
      <vt:lpstr>RSSP R&amp;RA Detail</vt:lpstr>
      <vt:lpstr>GRFP Detail</vt:lpstr>
      <vt:lpstr>AOAM Detail</vt:lpstr>
      <vt:lpstr>Admin Priorities</vt:lpstr>
      <vt:lpstr>BP - FY23 structure_Beth</vt:lpstr>
      <vt:lpstr>BP - FY24 structure </vt:lpstr>
      <vt:lpstr>EI tables_OLD</vt:lpstr>
      <vt:lpstr>EDU Cong. Direction</vt:lpstr>
      <vt:lpstr>R&amp;RA pots</vt:lpstr>
      <vt:lpstr>Transfer Thresholds</vt:lpstr>
      <vt:lpstr>EPSCoR Thoughts</vt:lpstr>
      <vt:lpstr>OS questions 12.30</vt:lpstr>
      <vt:lpstr>Full-year CR</vt:lpstr>
      <vt:lpstr>+4% Scenario</vt:lpstr>
      <vt:lpstr>Resources</vt:lpstr>
      <vt:lpstr>IA Detail</vt:lpstr>
      <vt:lpstr>High Level</vt:lpstr>
      <vt:lpstr>2022 CONG 2022 Actual</vt:lpstr>
      <vt:lpstr>2022 CONG 2022 CP</vt:lpstr>
      <vt:lpstr>2023 CONG 2023 Req.</vt:lpstr>
      <vt:lpstr>2024 OMB 2023 Req.</vt:lpstr>
      <vt:lpstr>'1-19 Update Summary'!Print_Area</vt:lpstr>
      <vt:lpstr>'1-20 Update Summary'!Print_Area</vt:lpstr>
      <vt:lpstr>'Fellows Option'!Print_Area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Cunningham, Jason</dc:creator>
  <cp:lastModifiedBy>Hunt, J. Nicholas</cp:lastModifiedBy>
  <cp:lastPrinted>2023-01-12T16:11:56Z</cp:lastPrinted>
  <dcterms:created xsi:type="dcterms:W3CDTF">2022-11-15T15:51:50Z</dcterms:created>
  <dcterms:modified xsi:type="dcterms:W3CDTF">2023-05-10T14:01:28Z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3f572b25-261e-45f0-9ef8-6af3ebdaab31</vt:lpwstr>
  </property>
  <property fmtid="{D5CDD505-2E9C-101B-9397-08002B2CF9AE}" pid="3" name="VM">
    <vt:lpwstr>Yes</vt:lpwstr>
  </property>
  <property fmtid="{D5CDD505-2E9C-101B-9397-08002B2CF9AE}" pid="4" name="ContainsCUI">
    <vt:lpwstr>Yes</vt:lpwstr>
  </property>
  <property fmtid="{D5CDD505-2E9C-101B-9397-08002B2CF9AE}" pid="5" name="MarkingType">
    <vt:lpwstr>Specified</vt:lpwstr>
  </property>
  <property fmtid="{D5CDD505-2E9C-101B-9397-08002B2CF9AE}" pid="6" name="CUIList">
    <vt:lpwstr>Short_List</vt:lpwstr>
  </property>
  <property fmtid="{D5CDD505-2E9C-101B-9397-08002B2CF9AE}" pid="7" name="CUIMarking">
    <vt:lpwstr>SP-BUDG</vt:lpwstr>
  </property>
  <property fmtid="{D5CDD505-2E9C-101B-9397-08002B2CF9AE}" pid="8" name="DisseminationNeeded">
    <vt:lpwstr>No</vt:lpwstr>
  </property>
  <property fmtid="{D5CDD505-2E9C-101B-9397-08002B2CF9AE}" pid="9" name="CUIEmail">
    <vt:lpwstr>cui@nsf.gov</vt:lpwstr>
  </property>
</Properties>
</file>