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8315" windowHeight="10995" activeTab="0"/>
  </bookViews>
  <sheets>
    <sheet name="NSF by Act-Subact FY09TotApprop" sheetId="1" r:id="rId1"/>
  </sheets>
  <definedNames>
    <definedName name="_xlnm.Print_Area" localSheetId="0">'NSF by Act-Subact FY09TotApprop'!$A$1:$J$92</definedName>
    <definedName name="_xlnm.Print_Titles" localSheetId="0">'NSF by Act-Subact FY09TotApprop'!$1:$7</definedName>
  </definedNames>
  <calcPr fullCalcOnLoad="1"/>
</workbook>
</file>

<file path=xl/sharedStrings.xml><?xml version="1.0" encoding="utf-8"?>
<sst xmlns="http://schemas.openxmlformats.org/spreadsheetml/2006/main" count="99" uniqueCount="87">
  <si>
    <t xml:space="preserve">                 NATIONAL SCIENCE FOUNDATION</t>
  </si>
  <si>
    <t>(Dollars in Millions)</t>
  </si>
  <si>
    <t>FY 2009 Current Plan</t>
  </si>
  <si>
    <t>FY 2009 ARRA Estimate</t>
  </si>
  <si>
    <t>FY 2009
Total Appropriations</t>
  </si>
  <si>
    <t>FY 2009 Total Appropriations change over:</t>
  </si>
  <si>
    <t>Current</t>
  </si>
  <si>
    <t>FY 2008</t>
  </si>
  <si>
    <t>FY 2009</t>
  </si>
  <si>
    <t>FY 2008 Actual</t>
  </si>
  <si>
    <t>FY 2009 Plan</t>
  </si>
  <si>
    <t>Plan</t>
  </si>
  <si>
    <t>Request</t>
  </si>
  <si>
    <t>Amount</t>
  </si>
  <si>
    <t>Percent</t>
  </si>
  <si>
    <t>Molecular &amp; Cellular Biosciences</t>
  </si>
  <si>
    <t>Integrative Organismal Systems</t>
  </si>
  <si>
    <t>Environmental Biology</t>
  </si>
  <si>
    <t>Biological Infrastructure</t>
  </si>
  <si>
    <t>Emerging Frontiers</t>
  </si>
  <si>
    <t>TOTAL, BIOLOGICAL SCIENCES</t>
  </si>
  <si>
    <t>Computing &amp; Communication Foundations</t>
  </si>
  <si>
    <t>Information and Intelligent Systems</t>
  </si>
  <si>
    <t>Computer &amp; Network Systems</t>
  </si>
  <si>
    <t>Information Technology Research</t>
  </si>
  <si>
    <t>TOTAL, COMPUTER &amp; INFORMATION SCIENCE &amp; ENGINEERING</t>
  </si>
  <si>
    <t>Chemical, Bioengineering, Environmental, &amp; Transport Systems</t>
  </si>
  <si>
    <t>Civil, Mechanical, &amp; Manufacturing Innovation</t>
  </si>
  <si>
    <t>Electrical, Communications, &amp; Cyber Systems</t>
  </si>
  <si>
    <t>Industrial Innovation &amp; Partnerships</t>
  </si>
  <si>
    <t>Engineering Education &amp; Centers</t>
  </si>
  <si>
    <t>Emerging Frontiers in Research &amp; Innovation</t>
  </si>
  <si>
    <t>TOTAL, ENGINEERING</t>
  </si>
  <si>
    <t>Atmospheric &amp; Geospace Sciences</t>
  </si>
  <si>
    <t>Earth Sciences</t>
  </si>
  <si>
    <t>Integrative &amp; Collaborative Education &amp; Research</t>
  </si>
  <si>
    <t>Ocean Sciences</t>
  </si>
  <si>
    <t>TOTAL, GEOSCIENCES</t>
  </si>
  <si>
    <t>Astronomical Sciences</t>
  </si>
  <si>
    <t>Chemistry</t>
  </si>
  <si>
    <t>Materials Research</t>
  </si>
  <si>
    <t>Mathematical Sciences</t>
  </si>
  <si>
    <t>Physics</t>
  </si>
  <si>
    <t>Multidisciplinary Activities</t>
  </si>
  <si>
    <t>TOTAL, MATHEMATICAL &amp; PHYSICAL SCIENCES</t>
  </si>
  <si>
    <t>Social and Economic Sciences</t>
  </si>
  <si>
    <t>Behavioral and Cognitive Sciences</t>
  </si>
  <si>
    <t>Science Resources Statistics</t>
  </si>
  <si>
    <t>TOTAL, SOCIAL, BEHAVIORAL &amp; ECONOMIC SCIENCES</t>
  </si>
  <si>
    <t>OFFICE OF CYBERINFRASTRUCTURE</t>
  </si>
  <si>
    <t>OFFICE OF INTERNATIONAL SCIENCE &amp; ENGINEERING</t>
  </si>
  <si>
    <t>Arctic Sciences</t>
  </si>
  <si>
    <t>Antarctic Sciences</t>
  </si>
  <si>
    <t xml:space="preserve">Antarctic Infrastructure and Logistics including </t>
  </si>
  <si>
    <t xml:space="preserve">  [including US Antarctic Logistical Support Activities]</t>
  </si>
  <si>
    <t>[67.63]</t>
  </si>
  <si>
    <t>[67.52]</t>
  </si>
  <si>
    <t>[0.00]</t>
  </si>
  <si>
    <t>Polar Environment, Safety, and Health</t>
  </si>
  <si>
    <t>TOTAL, OFFICE OF POLAR PROGRAMS</t>
  </si>
  <si>
    <t>INTEGRATIVE ACTIVITIES</t>
  </si>
  <si>
    <t>Experimental Program to Stimulate Competitive Research (EPSCoR)</t>
  </si>
  <si>
    <t>Non-EPSCoR Activities</t>
  </si>
  <si>
    <t>[93.87]</t>
  </si>
  <si>
    <t>[100.00]</t>
  </si>
  <si>
    <t>[200.00]</t>
  </si>
  <si>
    <t>[300.00]</t>
  </si>
  <si>
    <t xml:space="preserve">   [Academic Research Infrastructure]</t>
  </si>
  <si>
    <t>N/A</t>
  </si>
  <si>
    <t>UNITED STATES ARCTIC RESEARCH COMMISSION</t>
  </si>
  <si>
    <t>TOTAL, RESEARCH AND RELATED ACTIVITIES</t>
  </si>
  <si>
    <t>Undergraduate Education</t>
  </si>
  <si>
    <t>Graduate Education</t>
  </si>
  <si>
    <t>Human Resource Development</t>
  </si>
  <si>
    <t>Research on Learning in Formal and Informal Settings</t>
  </si>
  <si>
    <t>TOTAL, EDUCATION &amp; HUMAN RESOURCES</t>
  </si>
  <si>
    <t>MAJOR RESEARCH EQUIPMENT &amp; FACILITIES CONSTRUCTION</t>
  </si>
  <si>
    <t>SALARIES AND EXPENSES</t>
  </si>
  <si>
    <t>OFFICE OF THE INSPECTOR GENERAL</t>
  </si>
  <si>
    <t>OFFICE OF THE NATIONAL SCIENCE BOARD</t>
  </si>
  <si>
    <t>TOTAL, NATIONAL SCIENCE FOUNDATION</t>
  </si>
  <si>
    <t>Totals may not add due to rounding.</t>
  </si>
  <si>
    <t xml:space="preserve"> </t>
  </si>
  <si>
    <t>USCG Polar Icebreaking</t>
  </si>
  <si>
    <t xml:space="preserve">   [Major Research Instrumentation]</t>
  </si>
  <si>
    <t>FY 2008
Actual</t>
  </si>
  <si>
    <t>FY 2009 TOTAL APPROPRIATIONS BY ACTIVITY AND SUBACTIVITY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</si>
</sst>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%;\-0.0%;&quot;-&quot;??"/>
    <numFmt numFmtId="167" formatCode="#,##0.0000"/>
    <numFmt numFmtId="168" formatCode="#,##0.00;\-#,##0.00;&quot;-&quot;??"/>
    <numFmt numFmtId="169" formatCode="#,##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vertAlign val="superscript"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0" fontId="0" fillId="0" borderId="1" xfId="0" applyNumberFormat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4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Font="1" applyBorder="1" applyAlignment="1">
      <alignment horizontal="right"/>
    </xf>
    <xf numFmtId="164" fontId="0" fillId="0" borderId="9" xfId="20" applyNumberFormat="1" applyFont="1" applyBorder="1" applyAlignment="1">
      <alignment horizontal="right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Font="1" applyBorder="1" applyAlignment="1">
      <alignment horizontal="right" vertical="top"/>
    </xf>
    <xf numFmtId="40" fontId="0" fillId="0" borderId="11" xfId="0" applyNumberFormat="1" applyFont="1" applyBorder="1" applyAlignment="1">
      <alignment horizontal="right" vertical="top"/>
    </xf>
    <xf numFmtId="0" fontId="0" fillId="0" borderId="4" xfId="0" applyBorder="1" applyAlignment="1">
      <alignment horizontal="center"/>
    </xf>
    <xf numFmtId="164" fontId="0" fillId="0" borderId="11" xfId="20" applyNumberFormat="1" applyBorder="1" applyAlignment="1">
      <alignment horizontal="center"/>
    </xf>
    <xf numFmtId="164" fontId="0" fillId="0" borderId="12" xfId="20" applyNumberFormat="1" applyBorder="1" applyAlignment="1">
      <alignment horizontal="center"/>
    </xf>
    <xf numFmtId="0" fontId="1" fillId="0" borderId="5" xfId="0" applyFont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4" xfId="0" applyNumberFormat="1" applyBorder="1" applyAlignment="1">
      <alignment/>
    </xf>
    <xf numFmtId="164" fontId="0" fillId="0" borderId="11" xfId="0" applyNumberForma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6" fontId="0" fillId="0" borderId="11" xfId="20" applyNumberFormat="1" applyFont="1" applyBorder="1" applyAlignment="1">
      <alignment horizontal="right" vertical="center"/>
    </xf>
    <xf numFmtId="0" fontId="1" fillId="0" borderId="5" xfId="19" applyFont="1" applyBorder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164" fontId="0" fillId="0" borderId="16" xfId="0" applyNumberFormat="1" applyBorder="1" applyAlignment="1">
      <alignment horizontal="right"/>
    </xf>
    <xf numFmtId="4" fontId="0" fillId="0" borderId="1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64" fontId="0" fillId="0" borderId="16" xfId="0" applyNumberForma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0" fontId="1" fillId="0" borderId="5" xfId="0" applyFont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40" fontId="0" fillId="0" borderId="26" xfId="0" applyNumberFormat="1" applyFont="1" applyBorder="1" applyAlignment="1">
      <alignment/>
    </xf>
    <xf numFmtId="40" fontId="0" fillId="0" borderId="27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40" fontId="0" fillId="0" borderId="23" xfId="0" applyNumberFormat="1" applyFont="1" applyBorder="1" applyAlignment="1">
      <alignment/>
    </xf>
    <xf numFmtId="40" fontId="0" fillId="0" borderId="22" xfId="0" applyNumberFormat="1" applyFont="1" applyFill="1" applyBorder="1" applyAlignment="1">
      <alignment/>
    </xf>
    <xf numFmtId="40" fontId="0" fillId="0" borderId="13" xfId="0" applyNumberFormat="1" applyFont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4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165" fontId="0" fillId="0" borderId="28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4" fontId="0" fillId="0" borderId="30" xfId="0" applyNumberFormat="1" applyBorder="1" applyAlignment="1">
      <alignment/>
    </xf>
    <xf numFmtId="165" fontId="0" fillId="0" borderId="4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1" xfId="0" applyBorder="1" applyAlignment="1">
      <alignment/>
    </xf>
    <xf numFmtId="40" fontId="0" fillId="0" borderId="28" xfId="0" applyNumberFormat="1" applyFont="1" applyBorder="1" applyAlignment="1">
      <alignment/>
    </xf>
    <xf numFmtId="40" fontId="0" fillId="0" borderId="1" xfId="0" applyNumberFormat="1" applyFont="1" applyBorder="1" applyAlignment="1">
      <alignment/>
    </xf>
    <xf numFmtId="40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35" xfId="0" applyFont="1" applyBorder="1" applyAlignment="1">
      <alignment/>
    </xf>
    <xf numFmtId="0" fontId="0" fillId="0" borderId="16" xfId="0" applyBorder="1" applyAlignment="1">
      <alignment/>
    </xf>
    <xf numFmtId="0" fontId="1" fillId="0" borderId="35" xfId="19" applyFont="1" applyBorder="1" applyProtection="1">
      <alignment/>
      <protection locked="0"/>
    </xf>
    <xf numFmtId="0" fontId="0" fillId="0" borderId="16" xfId="0" applyFont="1" applyBorder="1" applyAlignment="1">
      <alignment/>
    </xf>
    <xf numFmtId="168" fontId="0" fillId="0" borderId="14" xfId="0" applyNumberFormat="1" applyBorder="1" applyAlignment="1">
      <alignment vertical="top"/>
    </xf>
    <xf numFmtId="168" fontId="0" fillId="0" borderId="15" xfId="0" applyNumberFormat="1" applyBorder="1" applyAlignment="1">
      <alignment vertical="top"/>
    </xf>
    <xf numFmtId="168" fontId="0" fillId="0" borderId="16" xfId="0" applyNumberFormat="1" applyBorder="1" applyAlignment="1">
      <alignment vertical="top"/>
    </xf>
    <xf numFmtId="168" fontId="0" fillId="0" borderId="4" xfId="0" applyNumberFormat="1" applyBorder="1" applyAlignment="1">
      <alignment vertical="top"/>
    </xf>
    <xf numFmtId="168" fontId="0" fillId="0" borderId="11" xfId="0" applyNumberFormat="1" applyBorder="1" applyAlignment="1">
      <alignment vertical="top"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167" fontId="4" fillId="0" borderId="13" xfId="0" applyNumberFormat="1" applyFont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8" fontId="4" fillId="0" borderId="4" xfId="0" applyNumberFormat="1" applyFont="1" applyBorder="1" applyAlignment="1">
      <alignment vertical="top"/>
    </xf>
    <xf numFmtId="168" fontId="4" fillId="0" borderId="11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6" fontId="4" fillId="0" borderId="16" xfId="20" applyNumberFormat="1" applyFont="1" applyFill="1" applyBorder="1" applyAlignment="1">
      <alignment horizontal="right" vertical="center"/>
    </xf>
    <xf numFmtId="168" fontId="0" fillId="0" borderId="13" xfId="0" applyNumberFormat="1" applyBorder="1" applyAlignment="1">
      <alignment vertical="top"/>
    </xf>
    <xf numFmtId="168" fontId="0" fillId="0" borderId="24" xfId="0" applyNumberFormat="1" applyBorder="1" applyAlignment="1">
      <alignment vertical="top"/>
    </xf>
    <xf numFmtId="168" fontId="0" fillId="0" borderId="25" xfId="0" applyNumberFormat="1" applyBorder="1" applyAlignment="1">
      <alignment vertical="top"/>
    </xf>
    <xf numFmtId="168" fontId="0" fillId="0" borderId="23" xfId="0" applyNumberFormat="1" applyBorder="1" applyAlignment="1">
      <alignment vertical="top"/>
    </xf>
    <xf numFmtId="0" fontId="5" fillId="0" borderId="0" xfId="0" applyFont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4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166" fontId="4" fillId="0" borderId="11" xfId="20" applyNumberFormat="1" applyFont="1" applyFill="1" applyBorder="1" applyAlignment="1">
      <alignment horizontal="right" vertical="center"/>
    </xf>
    <xf numFmtId="165" fontId="0" fillId="0" borderId="4" xfId="0" applyNumberFormat="1" applyBorder="1" applyAlignment="1">
      <alignment horizontal="right"/>
    </xf>
    <xf numFmtId="165" fontId="0" fillId="0" borderId="4" xfId="0" applyNumberFormat="1" applyBorder="1" applyAlignment="1">
      <alignment vertical="top"/>
    </xf>
    <xf numFmtId="165" fontId="0" fillId="0" borderId="13" xfId="0" applyNumberFormat="1" applyBorder="1" applyAlignment="1">
      <alignment vertical="top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40" fontId="0" fillId="0" borderId="29" xfId="0" applyNumberFormat="1" applyFont="1" applyBorder="1" applyAlignment="1">
      <alignment horizontal="right" wrapText="1"/>
    </xf>
    <xf numFmtId="40" fontId="0" fillId="0" borderId="13" xfId="0" applyNumberFormat="1" applyFont="1" applyBorder="1" applyAlignment="1">
      <alignment horizontal="right" wrapText="1"/>
    </xf>
    <xf numFmtId="40" fontId="0" fillId="0" borderId="18" xfId="0" applyNumberFormat="1" applyFont="1" applyBorder="1" applyAlignment="1">
      <alignment horizontal="right" wrapText="1"/>
    </xf>
    <xf numFmtId="40" fontId="0" fillId="0" borderId="31" xfId="0" applyNumberFormat="1" applyFont="1" applyFill="1" applyBorder="1" applyAlignment="1">
      <alignment horizontal="right" wrapText="1"/>
    </xf>
    <xf numFmtId="40" fontId="0" fillId="0" borderId="11" xfId="0" applyNumberFormat="1" applyFont="1" applyFill="1" applyBorder="1" applyAlignment="1">
      <alignment horizontal="right" wrapText="1"/>
    </xf>
    <xf numFmtId="40" fontId="0" fillId="0" borderId="9" xfId="0" applyNumberFormat="1" applyFont="1" applyFill="1" applyBorder="1" applyAlignment="1">
      <alignment horizontal="right" wrapText="1"/>
    </xf>
    <xf numFmtId="40" fontId="0" fillId="0" borderId="29" xfId="0" applyNumberFormat="1" applyFont="1" applyFill="1" applyBorder="1" applyAlignment="1">
      <alignment horizontal="right" wrapText="1"/>
    </xf>
    <xf numFmtId="40" fontId="0" fillId="0" borderId="13" xfId="0" applyNumberFormat="1" applyFont="1" applyFill="1" applyBorder="1" applyAlignment="1">
      <alignment horizontal="right" wrapText="1"/>
    </xf>
    <xf numFmtId="40" fontId="0" fillId="0" borderId="18" xfId="0" applyNumberFormat="1" applyFont="1" applyFill="1" applyBorder="1" applyAlignment="1">
      <alignment horizontal="right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Y03 Actual$ for 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GridLines="0" showZeros="0" tabSelected="1" workbookViewId="0" topLeftCell="A1">
      <selection activeCell="A1" sqref="A1:J1"/>
    </sheetView>
  </sheetViews>
  <sheetFormatPr defaultColWidth="9.140625" defaultRowHeight="12.75"/>
  <cols>
    <col min="1" max="1" width="4.7109375" style="0" customWidth="1"/>
    <col min="2" max="2" width="56.7109375" style="0" customWidth="1"/>
    <col min="3" max="3" width="10.00390625" style="0" customWidth="1"/>
    <col min="6" max="6" width="14.421875" style="0" customWidth="1"/>
    <col min="7" max="7" width="13.7109375" style="0" customWidth="1"/>
    <col min="8" max="8" width="12.140625" style="0" customWidth="1"/>
    <col min="9" max="9" width="13.140625" style="0" customWidth="1"/>
    <col min="10" max="10" width="10.7109375" style="0" customWidth="1"/>
    <col min="11" max="11" width="10.28125" style="0" customWidth="1"/>
    <col min="12" max="12" width="13.7109375" style="0" customWidth="1"/>
    <col min="13" max="13" width="12.140625" style="0" customWidth="1"/>
    <col min="14" max="14" width="13.140625" style="0" customWidth="1"/>
    <col min="15" max="15" width="10.7109375" style="0" customWidth="1"/>
  </cols>
  <sheetData>
    <row r="1" spans="1:15" ht="12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"/>
      <c r="L1" s="1"/>
      <c r="M1" s="1"/>
      <c r="N1" s="1"/>
      <c r="O1" s="1"/>
    </row>
    <row r="2" spans="1:15" ht="12.75">
      <c r="A2" s="141" t="s">
        <v>86</v>
      </c>
      <c r="B2" s="141"/>
      <c r="C2" s="141"/>
      <c r="D2" s="141"/>
      <c r="E2" s="141"/>
      <c r="F2" s="141"/>
      <c r="G2" s="141"/>
      <c r="H2" s="141"/>
      <c r="I2" s="141"/>
      <c r="J2" s="141"/>
      <c r="K2" s="1"/>
      <c r="L2" s="1"/>
      <c r="M2" s="1"/>
      <c r="N2" s="1"/>
      <c r="O2" s="1"/>
    </row>
    <row r="3" spans="1:15" ht="12.7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"/>
      <c r="L3" s="1"/>
      <c r="M3" s="1"/>
      <c r="N3" s="1"/>
      <c r="O3" s="1"/>
    </row>
    <row r="4" spans="1:15" ht="13.5" thickBot="1">
      <c r="A4" s="2"/>
      <c r="B4" s="2"/>
      <c r="C4" s="3"/>
      <c r="D4" s="4"/>
      <c r="E4" s="4"/>
      <c r="F4" s="5"/>
      <c r="G4" s="6"/>
      <c r="H4" s="7"/>
      <c r="I4" s="6"/>
      <c r="J4" s="7"/>
      <c r="K4" s="8"/>
      <c r="L4" s="6"/>
      <c r="M4" s="7"/>
      <c r="N4" s="6"/>
      <c r="O4" s="7"/>
    </row>
    <row r="5" spans="1:11" ht="13.5" customHeight="1">
      <c r="A5" s="9"/>
      <c r="B5" s="10"/>
      <c r="C5" s="142" t="s">
        <v>85</v>
      </c>
      <c r="D5" s="145" t="s">
        <v>2</v>
      </c>
      <c r="E5" s="145" t="s">
        <v>3</v>
      </c>
      <c r="F5" s="148" t="s">
        <v>4</v>
      </c>
      <c r="G5" s="151" t="s">
        <v>5</v>
      </c>
      <c r="H5" s="152"/>
      <c r="I5" s="152"/>
      <c r="J5" s="153"/>
      <c r="K5" s="11"/>
    </row>
    <row r="6" spans="1:10" ht="13.5" customHeight="1">
      <c r="A6" s="12"/>
      <c r="B6" s="13"/>
      <c r="C6" s="143" t="s">
        <v>6</v>
      </c>
      <c r="D6" s="146" t="s">
        <v>7</v>
      </c>
      <c r="E6" s="146" t="s">
        <v>8</v>
      </c>
      <c r="F6" s="149"/>
      <c r="G6" s="135" t="s">
        <v>9</v>
      </c>
      <c r="H6" s="136"/>
      <c r="I6" s="135" t="s">
        <v>10</v>
      </c>
      <c r="J6" s="136"/>
    </row>
    <row r="7" spans="1:10" ht="13.5" customHeight="1">
      <c r="A7" s="14"/>
      <c r="B7" s="15"/>
      <c r="C7" s="144" t="s">
        <v>11</v>
      </c>
      <c r="D7" s="147" t="s">
        <v>12</v>
      </c>
      <c r="E7" s="147" t="s">
        <v>12</v>
      </c>
      <c r="F7" s="150"/>
      <c r="G7" s="16" t="s">
        <v>13</v>
      </c>
      <c r="H7" s="17" t="s">
        <v>14</v>
      </c>
      <c r="I7" s="16" t="s">
        <v>13</v>
      </c>
      <c r="J7" s="17" t="s">
        <v>14</v>
      </c>
    </row>
    <row r="8" spans="1:10" ht="7.5" customHeight="1">
      <c r="A8" s="18"/>
      <c r="B8" s="19"/>
      <c r="C8" s="20"/>
      <c r="D8" s="20"/>
      <c r="E8" s="20"/>
      <c r="F8" s="21"/>
      <c r="G8" s="22"/>
      <c r="H8" s="23"/>
      <c r="I8" s="22"/>
      <c r="J8" s="24"/>
    </row>
    <row r="9" spans="1:10" ht="12.75">
      <c r="A9" s="25" t="s">
        <v>15</v>
      </c>
      <c r="B9" s="13"/>
      <c r="C9" s="26">
        <v>112.276</v>
      </c>
      <c r="D9" s="26">
        <v>121.26</v>
      </c>
      <c r="E9" s="26">
        <v>60</v>
      </c>
      <c r="F9" s="27">
        <f>SUM(D9:E9)</f>
        <v>181.26</v>
      </c>
      <c r="G9" s="28">
        <f aca="true" t="shared" si="0" ref="G9:G14">F9-C9</f>
        <v>68.984</v>
      </c>
      <c r="H9" s="29">
        <f aca="true" t="shared" si="1" ref="H9:H14">IF(C9&lt;&gt;0,G9/C9,"")</f>
        <v>0.6144144786062916</v>
      </c>
      <c r="I9" s="28">
        <f aca="true" t="shared" si="2" ref="I9:I14">F9-D9</f>
        <v>59.999999999999986</v>
      </c>
      <c r="J9" s="29">
        <f aca="true" t="shared" si="3" ref="J9:J14">IF(D9&lt;&gt;0,I9/D9,"")</f>
        <v>0.49480455220188013</v>
      </c>
    </row>
    <row r="10" spans="1:10" ht="12.75">
      <c r="A10" s="25" t="s">
        <v>16</v>
      </c>
      <c r="B10" s="13"/>
      <c r="C10" s="30">
        <f>102.593+97.447</f>
        <v>200.04000000000002</v>
      </c>
      <c r="D10" s="30">
        <v>211.62</v>
      </c>
      <c r="E10" s="30">
        <v>60</v>
      </c>
      <c r="F10" s="30">
        <f>SUM(D10:E10)</f>
        <v>271.62</v>
      </c>
      <c r="G10" s="31">
        <f t="shared" si="0"/>
        <v>71.57999999999998</v>
      </c>
      <c r="H10" s="29">
        <f t="shared" si="1"/>
        <v>0.35782843431313727</v>
      </c>
      <c r="I10" s="31">
        <f t="shared" si="2"/>
        <v>60</v>
      </c>
      <c r="J10" s="29">
        <f t="shared" si="3"/>
        <v>0.28352707683583783</v>
      </c>
    </row>
    <row r="11" spans="1:10" ht="12.75">
      <c r="A11" s="25" t="s">
        <v>17</v>
      </c>
      <c r="B11" s="13"/>
      <c r="C11" s="30">
        <v>110.713</v>
      </c>
      <c r="D11" s="30">
        <v>120.38</v>
      </c>
      <c r="E11" s="30">
        <v>70</v>
      </c>
      <c r="F11" s="30">
        <f>SUM(D11:E11)</f>
        <v>190.38</v>
      </c>
      <c r="G11" s="31">
        <f t="shared" si="0"/>
        <v>79.667</v>
      </c>
      <c r="H11" s="29">
        <f t="shared" si="1"/>
        <v>0.719581259653338</v>
      </c>
      <c r="I11" s="31">
        <f t="shared" si="2"/>
        <v>70</v>
      </c>
      <c r="J11" s="29">
        <f t="shared" si="3"/>
        <v>0.5814919421830869</v>
      </c>
    </row>
    <row r="12" spans="1:10" ht="12.75">
      <c r="A12" s="25" t="s">
        <v>18</v>
      </c>
      <c r="B12" s="13"/>
      <c r="C12" s="30">
        <v>83.653</v>
      </c>
      <c r="D12" s="30">
        <v>86.97</v>
      </c>
      <c r="E12" s="30">
        <v>20</v>
      </c>
      <c r="F12" s="30">
        <f>SUM(D12:E12)</f>
        <v>106.97</v>
      </c>
      <c r="G12" s="31">
        <f t="shared" si="0"/>
        <v>23.316999999999993</v>
      </c>
      <c r="H12" s="29">
        <f t="shared" si="1"/>
        <v>0.2787347734092022</v>
      </c>
      <c r="I12" s="31">
        <f t="shared" si="2"/>
        <v>20</v>
      </c>
      <c r="J12" s="29">
        <f t="shared" si="3"/>
        <v>0.22996435552489364</v>
      </c>
    </row>
    <row r="13" spans="1:10" ht="12.75">
      <c r="A13" s="99" t="s">
        <v>19</v>
      </c>
      <c r="B13" s="100"/>
      <c r="C13" s="32">
        <v>106.737</v>
      </c>
      <c r="D13" s="32">
        <v>113.58</v>
      </c>
      <c r="E13" s="32">
        <v>50</v>
      </c>
      <c r="F13" s="32">
        <f>SUM(D13:E13)</f>
        <v>163.57999999999998</v>
      </c>
      <c r="G13" s="33">
        <f t="shared" si="0"/>
        <v>56.84299999999999</v>
      </c>
      <c r="H13" s="34">
        <f t="shared" si="1"/>
        <v>0.5325519735424453</v>
      </c>
      <c r="I13" s="33">
        <f t="shared" si="2"/>
        <v>49.999999999999986</v>
      </c>
      <c r="J13" s="34">
        <f t="shared" si="3"/>
        <v>0.44021834830075707</v>
      </c>
    </row>
    <row r="14" spans="1:10" ht="12.75">
      <c r="A14" s="12"/>
      <c r="B14" s="13" t="s">
        <v>20</v>
      </c>
      <c r="C14" s="30">
        <f>SUM(C9:C13)</f>
        <v>613.419</v>
      </c>
      <c r="D14" s="30">
        <f>SUM(D9:D13)</f>
        <v>653.8100000000001</v>
      </c>
      <c r="E14" s="30">
        <f>SUM(E9:E13)</f>
        <v>260</v>
      </c>
      <c r="F14" s="35">
        <f>SUM(F9:F13)</f>
        <v>913.81</v>
      </c>
      <c r="G14" s="36">
        <f t="shared" si="0"/>
        <v>300.39099999999996</v>
      </c>
      <c r="H14" s="29">
        <f t="shared" si="1"/>
        <v>0.4896995365321256</v>
      </c>
      <c r="I14" s="36">
        <f t="shared" si="2"/>
        <v>259.9999999999999</v>
      </c>
      <c r="J14" s="29">
        <f t="shared" si="3"/>
        <v>0.39766904758263083</v>
      </c>
    </row>
    <row r="15" spans="1:10" ht="7.5" customHeight="1">
      <c r="A15" s="12"/>
      <c r="B15" s="13"/>
      <c r="C15" s="37"/>
      <c r="D15" s="30"/>
      <c r="E15" s="30"/>
      <c r="F15" s="35"/>
      <c r="G15" s="31"/>
      <c r="H15" s="29"/>
      <c r="I15" s="31"/>
      <c r="J15" s="38"/>
    </row>
    <row r="16" spans="1:10" ht="12.75">
      <c r="A16" s="39" t="s">
        <v>21</v>
      </c>
      <c r="B16" s="40"/>
      <c r="C16" s="37">
        <v>143.629</v>
      </c>
      <c r="D16" s="30">
        <v>156.93</v>
      </c>
      <c r="E16" s="30">
        <v>41.5</v>
      </c>
      <c r="F16" s="35">
        <f>SUM(D16:E16)</f>
        <v>198.43</v>
      </c>
      <c r="G16" s="31">
        <f>F16-C16</f>
        <v>54.801000000000016</v>
      </c>
      <c r="H16" s="29">
        <f>IF(C16&lt;&gt;0,G16/C16,"")</f>
        <v>0.38154550961156886</v>
      </c>
      <c r="I16" s="31">
        <f>F16-D16</f>
        <v>41.5</v>
      </c>
      <c r="J16" s="29">
        <f>IF(D16&lt;&gt;0,I16/D16,"")</f>
        <v>0.2644491174408972</v>
      </c>
    </row>
    <row r="17" spans="1:10" ht="12.75">
      <c r="A17" s="39" t="s">
        <v>22</v>
      </c>
      <c r="B17" s="40"/>
      <c r="C17" s="37">
        <v>139.331</v>
      </c>
      <c r="D17" s="30">
        <v>150.26</v>
      </c>
      <c r="E17" s="30">
        <v>60.5</v>
      </c>
      <c r="F17" s="35">
        <f>SUM(D17:E17)</f>
        <v>210.76</v>
      </c>
      <c r="G17" s="31">
        <f>F17-C17</f>
        <v>71.429</v>
      </c>
      <c r="H17" s="29">
        <f>IF(C17&lt;&gt;0,G17/C17,"")</f>
        <v>0.5126569105224251</v>
      </c>
      <c r="I17" s="31">
        <f>F17-D17</f>
        <v>60.5</v>
      </c>
      <c r="J17" s="29">
        <f>IF(D17&lt;&gt;0,I17/D17,"")</f>
        <v>0.4026354319180088</v>
      </c>
    </row>
    <row r="18" spans="1:10" ht="12.75">
      <c r="A18" s="39" t="s">
        <v>23</v>
      </c>
      <c r="B18" s="41"/>
      <c r="C18" s="37">
        <v>174.156</v>
      </c>
      <c r="D18" s="30">
        <v>188.31</v>
      </c>
      <c r="E18" s="30">
        <v>92.57</v>
      </c>
      <c r="F18" s="35">
        <f>SUM(D18:E18)</f>
        <v>280.88</v>
      </c>
      <c r="G18" s="31">
        <f>F18-C18</f>
        <v>106.72399999999999</v>
      </c>
      <c r="H18" s="29">
        <f>IF(C18&lt;&gt;0,G18/C18,"")</f>
        <v>0.6128069087484783</v>
      </c>
      <c r="I18" s="31">
        <f>F18-D18</f>
        <v>92.57</v>
      </c>
      <c r="J18" s="29">
        <f>IF(D18&lt;&gt;0,I18/D18,"")</f>
        <v>0.4915830279857681</v>
      </c>
    </row>
    <row r="19" spans="1:10" ht="12.75">
      <c r="A19" s="101" t="s">
        <v>24</v>
      </c>
      <c r="B19" s="102"/>
      <c r="C19" s="42">
        <v>78.143</v>
      </c>
      <c r="D19" s="32">
        <v>78.24</v>
      </c>
      <c r="E19" s="32">
        <v>40.43</v>
      </c>
      <c r="F19" s="32">
        <f>SUM(D19:E19)</f>
        <v>118.66999999999999</v>
      </c>
      <c r="G19" s="33">
        <f>F19-C19</f>
        <v>40.52699999999999</v>
      </c>
      <c r="H19" s="43">
        <f>IF(C19&lt;&gt;0,G19/C19,"")</f>
        <v>0.5186261085445911</v>
      </c>
      <c r="I19" s="31">
        <f>F19-D19</f>
        <v>40.42999999999999</v>
      </c>
      <c r="J19" s="34">
        <f>IF(D19&lt;&gt;0,I19/D19,"")</f>
        <v>0.516743353783231</v>
      </c>
    </row>
    <row r="20" spans="1:10" ht="12.75">
      <c r="A20" s="12"/>
      <c r="B20" s="13" t="s">
        <v>25</v>
      </c>
      <c r="C20" s="37">
        <f>SUM(C16:C19)</f>
        <v>535.259</v>
      </c>
      <c r="D20" s="30">
        <f>SUM(D16:D19)</f>
        <v>573.74</v>
      </c>
      <c r="E20" s="30">
        <f>SUM(E16:E19)</f>
        <v>235</v>
      </c>
      <c r="F20" s="35">
        <f>SUM(F16:F19)</f>
        <v>808.7399999999999</v>
      </c>
      <c r="G20" s="44">
        <f>F20-C20</f>
        <v>273.4809999999999</v>
      </c>
      <c r="H20" s="29">
        <f>IF(C20&lt;&gt;0,G20/C20,"")</f>
        <v>0.5109320908195844</v>
      </c>
      <c r="I20" s="44">
        <f>F20-D20</f>
        <v>234.9999999999999</v>
      </c>
      <c r="J20" s="29">
        <f>IF(D20&lt;&gt;0,I20/D20,"")</f>
        <v>0.4095931955241048</v>
      </c>
    </row>
    <row r="21" spans="1:10" ht="7.5" customHeight="1">
      <c r="A21" s="12"/>
      <c r="B21" s="13"/>
      <c r="C21" s="37"/>
      <c r="D21" s="30"/>
      <c r="E21" s="30"/>
      <c r="F21" s="35"/>
      <c r="G21" s="31"/>
      <c r="H21" s="29"/>
      <c r="I21" s="31"/>
      <c r="J21" s="29"/>
    </row>
    <row r="22" spans="1:10" ht="12.75">
      <c r="A22" s="25" t="s">
        <v>26</v>
      </c>
      <c r="B22" s="13"/>
      <c r="C22" s="37">
        <v>132.813</v>
      </c>
      <c r="D22" s="30">
        <v>146.02</v>
      </c>
      <c r="E22" s="30">
        <v>60.4</v>
      </c>
      <c r="F22" s="35">
        <f aca="true" t="shared" si="4" ref="F22:F27">SUM(D22:E22)</f>
        <v>206.42000000000002</v>
      </c>
      <c r="G22" s="31">
        <f aca="true" t="shared" si="5" ref="G22:G28">F22-C22</f>
        <v>73.60700000000003</v>
      </c>
      <c r="H22" s="29">
        <f aca="true" t="shared" si="6" ref="H22:H28">IF(C22&lt;&gt;0,G22/C22,"")</f>
        <v>0.5542153253070109</v>
      </c>
      <c r="I22" s="31">
        <f aca="true" t="shared" si="7" ref="I22:I27">F22-D22</f>
        <v>60.400000000000006</v>
      </c>
      <c r="J22" s="29">
        <f aca="true" t="shared" si="8" ref="J22:J27">IF(D22&lt;&gt;0,I22/D22,"")</f>
        <v>0.4136419668538556</v>
      </c>
    </row>
    <row r="23" spans="1:10" ht="12.75">
      <c r="A23" s="25" t="s">
        <v>27</v>
      </c>
      <c r="B23" s="13"/>
      <c r="C23" s="37">
        <v>161.108</v>
      </c>
      <c r="D23" s="30">
        <v>174.84</v>
      </c>
      <c r="E23" s="30">
        <v>57.76</v>
      </c>
      <c r="F23" s="35">
        <f t="shared" si="4"/>
        <v>232.6</v>
      </c>
      <c r="G23" s="31">
        <f t="shared" si="5"/>
        <v>71.49199999999999</v>
      </c>
      <c r="H23" s="29">
        <f t="shared" si="6"/>
        <v>0.44375201728033364</v>
      </c>
      <c r="I23" s="31">
        <f t="shared" si="7"/>
        <v>57.75999999999999</v>
      </c>
      <c r="J23" s="29">
        <f t="shared" si="8"/>
        <v>0.3303591855410661</v>
      </c>
    </row>
    <row r="24" spans="1:10" ht="12.75">
      <c r="A24" s="25" t="s">
        <v>28</v>
      </c>
      <c r="B24" s="13"/>
      <c r="C24" s="37">
        <v>83.604</v>
      </c>
      <c r="D24" s="30">
        <v>87.35</v>
      </c>
      <c r="E24" s="30">
        <v>45.84</v>
      </c>
      <c r="F24" s="35">
        <f t="shared" si="4"/>
        <v>133.19</v>
      </c>
      <c r="G24" s="31">
        <f t="shared" si="5"/>
        <v>49.586</v>
      </c>
      <c r="H24" s="29">
        <f t="shared" si="6"/>
        <v>0.5931055930338262</v>
      </c>
      <c r="I24" s="31">
        <f t="shared" si="7"/>
        <v>45.84</v>
      </c>
      <c r="J24" s="29">
        <f t="shared" si="8"/>
        <v>0.5247853463079566</v>
      </c>
    </row>
    <row r="25" spans="1:10" ht="12.75">
      <c r="A25" s="25" t="s">
        <v>29</v>
      </c>
      <c r="B25" s="13"/>
      <c r="C25" s="37">
        <f>130.72-9.19-0.003</f>
        <v>121.527</v>
      </c>
      <c r="D25" s="30">
        <f>141.23-9.19</f>
        <v>132.04</v>
      </c>
      <c r="E25" s="30">
        <v>55</v>
      </c>
      <c r="F25" s="35">
        <f t="shared" si="4"/>
        <v>187.04</v>
      </c>
      <c r="G25" s="31">
        <f t="shared" si="5"/>
        <v>65.51299999999999</v>
      </c>
      <c r="H25" s="29">
        <f t="shared" si="6"/>
        <v>0.5390818501238407</v>
      </c>
      <c r="I25" s="31">
        <f t="shared" si="7"/>
        <v>55</v>
      </c>
      <c r="J25" s="29">
        <f t="shared" si="8"/>
        <v>0.4165404422902151</v>
      </c>
    </row>
    <row r="26" spans="1:10" ht="12.75">
      <c r="A26" s="25" t="s">
        <v>30</v>
      </c>
      <c r="B26" s="13"/>
      <c r="C26" s="37">
        <v>116.021</v>
      </c>
      <c r="D26" s="30">
        <v>117.45</v>
      </c>
      <c r="E26" s="30">
        <v>32</v>
      </c>
      <c r="F26" s="35">
        <f t="shared" si="4"/>
        <v>149.45</v>
      </c>
      <c r="G26" s="31">
        <f t="shared" si="5"/>
        <v>33.42899999999999</v>
      </c>
      <c r="H26" s="29">
        <f t="shared" si="6"/>
        <v>0.2881288732212271</v>
      </c>
      <c r="I26" s="31">
        <f t="shared" si="7"/>
        <v>31.999999999999986</v>
      </c>
      <c r="J26" s="29">
        <f t="shared" si="8"/>
        <v>0.2724563644103873</v>
      </c>
    </row>
    <row r="27" spans="1:10" ht="12.75">
      <c r="A27" s="137" t="s">
        <v>31</v>
      </c>
      <c r="B27" s="138"/>
      <c r="C27" s="42">
        <v>25.226</v>
      </c>
      <c r="D27" s="32">
        <v>26.45</v>
      </c>
      <c r="E27" s="32">
        <v>14</v>
      </c>
      <c r="F27" s="32">
        <f t="shared" si="4"/>
        <v>40.45</v>
      </c>
      <c r="G27" s="45">
        <f t="shared" si="5"/>
        <v>15.224000000000004</v>
      </c>
      <c r="H27" s="46">
        <f t="shared" si="6"/>
        <v>0.6035043209387142</v>
      </c>
      <c r="I27" s="31">
        <f t="shared" si="7"/>
        <v>14.000000000000004</v>
      </c>
      <c r="J27" s="46">
        <f t="shared" si="8"/>
        <v>0.5293005671077506</v>
      </c>
    </row>
    <row r="28" spans="1:10" ht="12.75">
      <c r="A28" s="12"/>
      <c r="B28" s="13" t="s">
        <v>32</v>
      </c>
      <c r="C28" s="37">
        <f>SUM(C22:C27)</f>
        <v>640.299</v>
      </c>
      <c r="D28" s="30">
        <f>SUM(D22:D27)</f>
        <v>684.1500000000001</v>
      </c>
      <c r="E28" s="30">
        <f>SUM(E22:E27)</f>
        <v>265</v>
      </c>
      <c r="F28" s="35">
        <f>SUM(F22:F27)</f>
        <v>949.1500000000001</v>
      </c>
      <c r="G28" s="44">
        <f t="shared" si="5"/>
        <v>308.8510000000001</v>
      </c>
      <c r="H28" s="29">
        <f t="shared" si="6"/>
        <v>0.4823543375829107</v>
      </c>
      <c r="I28" s="44">
        <f>F28-D28</f>
        <v>265</v>
      </c>
      <c r="J28" s="29">
        <f>IF(D28&lt;&gt;0,I28/D28,"")</f>
        <v>0.3873419571731345</v>
      </c>
    </row>
    <row r="29" spans="1:10" ht="7.5" customHeight="1">
      <c r="A29" s="12"/>
      <c r="B29" s="13"/>
      <c r="C29" s="37"/>
      <c r="D29" s="30"/>
      <c r="E29" s="30"/>
      <c r="F29" s="35"/>
      <c r="G29" s="31"/>
      <c r="H29" s="29"/>
      <c r="I29" s="31"/>
      <c r="J29" s="29"/>
    </row>
    <row r="30" spans="1:10" ht="12.75">
      <c r="A30" s="25" t="s">
        <v>33</v>
      </c>
      <c r="B30" s="13"/>
      <c r="C30" s="37">
        <v>230.03</v>
      </c>
      <c r="D30" s="30">
        <v>244.6</v>
      </c>
      <c r="E30" s="30">
        <v>68.2</v>
      </c>
      <c r="F30" s="35">
        <f>SUM(D30:E30)</f>
        <v>312.8</v>
      </c>
      <c r="G30" s="31">
        <f>F30-C30</f>
        <v>82.77000000000001</v>
      </c>
      <c r="H30" s="29">
        <f>IF(C30&lt;&gt;0,G30/C30,"")</f>
        <v>0.35982263183063085</v>
      </c>
      <c r="I30" s="31">
        <f>F30-D30</f>
        <v>68.20000000000002</v>
      </c>
      <c r="J30" s="29">
        <f>IF(D30&lt;&gt;0,I30/D30,"")</f>
        <v>0.27882256745707285</v>
      </c>
    </row>
    <row r="31" spans="1:10" ht="12.75">
      <c r="A31" s="25" t="s">
        <v>34</v>
      </c>
      <c r="B31" s="13"/>
      <c r="C31" s="37">
        <v>157.82</v>
      </c>
      <c r="D31" s="30">
        <v>171</v>
      </c>
      <c r="E31" s="30">
        <v>85.22</v>
      </c>
      <c r="F31" s="35">
        <f>SUM(D31:E31)</f>
        <v>256.22</v>
      </c>
      <c r="G31" s="31">
        <f>F31-C31</f>
        <v>98.40000000000003</v>
      </c>
      <c r="H31" s="29">
        <f>IF(C31&lt;&gt;0,G31/C31,"")</f>
        <v>0.6234951210239515</v>
      </c>
      <c r="I31" s="31">
        <f>F31-D31</f>
        <v>85.22000000000003</v>
      </c>
      <c r="J31" s="29">
        <f>IF(D31&lt;&gt;0,I31/D31,"")</f>
        <v>0.49836257309941534</v>
      </c>
    </row>
    <row r="32" spans="1:10" ht="12.75">
      <c r="A32" s="25" t="s">
        <v>35</v>
      </c>
      <c r="B32" s="13"/>
      <c r="C32" s="37">
        <v>56.96</v>
      </c>
      <c r="D32" s="30">
        <v>61.17</v>
      </c>
      <c r="E32" s="30">
        <v>79.58</v>
      </c>
      <c r="F32" s="35">
        <f>SUM(D32:E32)</f>
        <v>140.75</v>
      </c>
      <c r="G32" s="31">
        <f>F32-C32</f>
        <v>83.78999999999999</v>
      </c>
      <c r="H32" s="29">
        <f>IF(C32&lt;&gt;0,G32/C32,"")</f>
        <v>1.4710323033707864</v>
      </c>
      <c r="I32" s="31">
        <f>F32-D32</f>
        <v>79.58</v>
      </c>
      <c r="J32" s="29">
        <f>IF(D32&lt;&gt;0,I32/D32,"")</f>
        <v>1.3009645250940003</v>
      </c>
    </row>
    <row r="33" spans="1:10" ht="12.75">
      <c r="A33" s="99" t="s">
        <v>36</v>
      </c>
      <c r="B33" s="100"/>
      <c r="C33" s="42">
        <v>313.06</v>
      </c>
      <c r="D33" s="32">
        <v>330.36</v>
      </c>
      <c r="E33" s="32">
        <v>114</v>
      </c>
      <c r="F33" s="32">
        <f>SUM(D33:E33)</f>
        <v>444.36</v>
      </c>
      <c r="G33" s="33">
        <f>F33-C33</f>
        <v>131.3</v>
      </c>
      <c r="H33" s="34">
        <f>IF(C33&lt;&gt;0,G33/C33,"")</f>
        <v>0.4194084201111608</v>
      </c>
      <c r="I33" s="31">
        <f>F33-D33</f>
        <v>114</v>
      </c>
      <c r="J33" s="34">
        <f>IF(D33&lt;&gt;0,I33/D33,"")</f>
        <v>0.34507809662186706</v>
      </c>
    </row>
    <row r="34" spans="1:10" ht="12.75">
      <c r="A34" s="12"/>
      <c r="B34" s="13" t="s">
        <v>37</v>
      </c>
      <c r="C34" s="37">
        <f>SUM(C30:C33)</f>
        <v>757.87</v>
      </c>
      <c r="D34" s="30">
        <f>SUM(D30:D33)</f>
        <v>807.1300000000001</v>
      </c>
      <c r="E34" s="30">
        <f>SUM(E30:E33)</f>
        <v>347</v>
      </c>
      <c r="F34" s="35">
        <f>SUM(F30:F33)</f>
        <v>1154.13</v>
      </c>
      <c r="G34" s="44">
        <f>F34-C34</f>
        <v>396.2600000000001</v>
      </c>
      <c r="H34" s="29">
        <f>IF(C34&lt;&gt;0,G34/C34,"")</f>
        <v>0.5228601211289536</v>
      </c>
      <c r="I34" s="44">
        <f>F34-D34</f>
        <v>347</v>
      </c>
      <c r="J34" s="29">
        <f>IF(D34&lt;&gt;0,I34/D34,"")</f>
        <v>0.42991835268172407</v>
      </c>
    </row>
    <row r="35" spans="1:10" ht="7.5" customHeight="1">
      <c r="A35" s="25"/>
      <c r="B35" s="13"/>
      <c r="C35" s="37"/>
      <c r="D35" s="30"/>
      <c r="E35" s="30"/>
      <c r="F35" s="35"/>
      <c r="G35" s="31"/>
      <c r="H35" s="29"/>
      <c r="I35" s="31"/>
      <c r="J35" s="29"/>
    </row>
    <row r="36" spans="1:10" ht="12.75">
      <c r="A36" s="25" t="s">
        <v>38</v>
      </c>
      <c r="B36" s="13"/>
      <c r="C36" s="37">
        <v>217.901</v>
      </c>
      <c r="D36" s="30">
        <v>228.62</v>
      </c>
      <c r="E36" s="30">
        <v>85.8</v>
      </c>
      <c r="F36" s="35">
        <f aca="true" t="shared" si="9" ref="F36:F41">SUM(D36:E36)</f>
        <v>314.42</v>
      </c>
      <c r="G36" s="31">
        <f aca="true" t="shared" si="10" ref="G36:G42">F36-C36</f>
        <v>96.519</v>
      </c>
      <c r="H36" s="29">
        <f aca="true" t="shared" si="11" ref="H36:H42">IF(C36&lt;&gt;0,G36/C36,"")</f>
        <v>0.4429488620979252</v>
      </c>
      <c r="I36" s="31">
        <f aca="true" t="shared" si="12" ref="I36:I42">F36-D36</f>
        <v>85.80000000000001</v>
      </c>
      <c r="J36" s="29">
        <f aca="true" t="shared" si="13" ref="J36:J42">IF(D36&lt;&gt;0,I36/D36,"")</f>
        <v>0.3752952497594262</v>
      </c>
    </row>
    <row r="37" spans="1:10" ht="12.75">
      <c r="A37" s="25" t="s">
        <v>39</v>
      </c>
      <c r="B37" s="13"/>
      <c r="C37" s="37">
        <v>194.623</v>
      </c>
      <c r="D37" s="30">
        <v>211.35</v>
      </c>
      <c r="E37" s="30">
        <v>103</v>
      </c>
      <c r="F37" s="35">
        <f t="shared" si="9"/>
        <v>314.35</v>
      </c>
      <c r="G37" s="31">
        <f t="shared" si="10"/>
        <v>119.72700000000003</v>
      </c>
      <c r="H37" s="29">
        <f t="shared" si="11"/>
        <v>0.6151739516912186</v>
      </c>
      <c r="I37" s="31">
        <f t="shared" si="12"/>
        <v>103.00000000000003</v>
      </c>
      <c r="J37" s="29">
        <f t="shared" si="13"/>
        <v>0.48734326945824474</v>
      </c>
    </row>
    <row r="38" spans="1:10" ht="12.75">
      <c r="A38" s="25" t="s">
        <v>40</v>
      </c>
      <c r="B38" s="13"/>
      <c r="C38" s="37">
        <v>262.547</v>
      </c>
      <c r="D38" s="30">
        <v>282.13</v>
      </c>
      <c r="E38" s="30">
        <v>106.9</v>
      </c>
      <c r="F38" s="35">
        <f t="shared" si="9"/>
        <v>389.03</v>
      </c>
      <c r="G38" s="31">
        <f t="shared" si="10"/>
        <v>126.48299999999995</v>
      </c>
      <c r="H38" s="29">
        <f t="shared" si="11"/>
        <v>0.4817537431393234</v>
      </c>
      <c r="I38" s="31">
        <f t="shared" si="12"/>
        <v>106.89999999999998</v>
      </c>
      <c r="J38" s="29">
        <f t="shared" si="13"/>
        <v>0.37890334243079427</v>
      </c>
    </row>
    <row r="39" spans="1:10" ht="12.75">
      <c r="A39" s="25" t="s">
        <v>41</v>
      </c>
      <c r="B39" s="13"/>
      <c r="C39" s="37">
        <v>211.752</v>
      </c>
      <c r="D39" s="30">
        <v>226.18</v>
      </c>
      <c r="E39" s="30">
        <v>98</v>
      </c>
      <c r="F39" s="35">
        <f t="shared" si="9"/>
        <v>324.18</v>
      </c>
      <c r="G39" s="31">
        <f t="shared" si="10"/>
        <v>112.428</v>
      </c>
      <c r="H39" s="29">
        <f t="shared" si="11"/>
        <v>0.5309418565113907</v>
      </c>
      <c r="I39" s="31">
        <f t="shared" si="12"/>
        <v>98</v>
      </c>
      <c r="J39" s="29">
        <f t="shared" si="13"/>
        <v>0.43328322574940314</v>
      </c>
    </row>
    <row r="40" spans="1:10" ht="12.75">
      <c r="A40" s="25" t="s">
        <v>42</v>
      </c>
      <c r="B40" s="13"/>
      <c r="C40" s="37">
        <v>251.639</v>
      </c>
      <c r="D40" s="30">
        <v>274.47</v>
      </c>
      <c r="E40" s="30">
        <v>96.3</v>
      </c>
      <c r="F40" s="35">
        <f t="shared" si="9"/>
        <v>370.77000000000004</v>
      </c>
      <c r="G40" s="31">
        <f t="shared" si="10"/>
        <v>119.13100000000003</v>
      </c>
      <c r="H40" s="29">
        <f t="shared" si="11"/>
        <v>0.4734202567964426</v>
      </c>
      <c r="I40" s="31">
        <f t="shared" si="12"/>
        <v>96.30000000000001</v>
      </c>
      <c r="J40" s="29">
        <f t="shared" si="13"/>
        <v>0.35085801726964694</v>
      </c>
    </row>
    <row r="41" spans="1:10" ht="12.75">
      <c r="A41" s="99" t="s">
        <v>43</v>
      </c>
      <c r="B41" s="100"/>
      <c r="C41" s="42">
        <v>32.671</v>
      </c>
      <c r="D41" s="32">
        <v>33.21</v>
      </c>
      <c r="E41" s="103">
        <v>0</v>
      </c>
      <c r="F41" s="32">
        <f t="shared" si="9"/>
        <v>33.21</v>
      </c>
      <c r="G41" s="33">
        <f t="shared" si="10"/>
        <v>0.5390000000000015</v>
      </c>
      <c r="H41" s="34">
        <f t="shared" si="11"/>
        <v>0.016497811514799104</v>
      </c>
      <c r="I41" s="104">
        <f t="shared" si="12"/>
        <v>0</v>
      </c>
      <c r="J41" s="105">
        <f t="shared" si="13"/>
        <v>0</v>
      </c>
    </row>
    <row r="42" spans="1:10" ht="12.75">
      <c r="A42" s="12"/>
      <c r="B42" s="13" t="s">
        <v>44</v>
      </c>
      <c r="C42" s="37">
        <f>SUM(C36:C41)</f>
        <v>1171.133</v>
      </c>
      <c r="D42" s="30">
        <f>SUM(D36:D41)</f>
        <v>1255.96</v>
      </c>
      <c r="E42" s="30">
        <f>SUM(E36:E41)</f>
        <v>490.00000000000006</v>
      </c>
      <c r="F42" s="35">
        <f>SUM(F36:F41)</f>
        <v>1745.96</v>
      </c>
      <c r="G42" s="44">
        <f t="shared" si="10"/>
        <v>574.827</v>
      </c>
      <c r="H42" s="29">
        <f t="shared" si="11"/>
        <v>0.4908298203534526</v>
      </c>
      <c r="I42" s="44">
        <f t="shared" si="12"/>
        <v>490</v>
      </c>
      <c r="J42" s="38">
        <f t="shared" si="13"/>
        <v>0.39013981336985254</v>
      </c>
    </row>
    <row r="43" spans="1:10" ht="7.5" customHeight="1">
      <c r="A43" s="12"/>
      <c r="B43" s="13"/>
      <c r="C43" s="37"/>
      <c r="D43" s="30"/>
      <c r="E43" s="30"/>
      <c r="F43" s="35"/>
      <c r="G43" s="31"/>
      <c r="H43" s="29"/>
      <c r="I43" s="31"/>
      <c r="J43" s="29"/>
    </row>
    <row r="44" spans="1:10" ht="12.75">
      <c r="A44" s="25" t="s">
        <v>45</v>
      </c>
      <c r="B44" s="13"/>
      <c r="C44" s="37">
        <v>100.103</v>
      </c>
      <c r="D44" s="30">
        <v>103</v>
      </c>
      <c r="E44" s="30">
        <v>42</v>
      </c>
      <c r="F44" s="35">
        <f>SUM(D44:E44)</f>
        <v>145</v>
      </c>
      <c r="G44" s="31">
        <f>F44-C44</f>
        <v>44.897000000000006</v>
      </c>
      <c r="H44" s="29">
        <f>IF(C44&lt;&gt;0,G44/C44,"")</f>
        <v>0.44850803672217626</v>
      </c>
      <c r="I44" s="31">
        <f>F44-D44</f>
        <v>42</v>
      </c>
      <c r="J44" s="29">
        <f>IF(D44&lt;&gt;0,I44/D44,"")</f>
        <v>0.4077669902912621</v>
      </c>
    </row>
    <row r="45" spans="1:10" ht="12.75">
      <c r="A45" s="25" t="s">
        <v>46</v>
      </c>
      <c r="B45" s="13"/>
      <c r="C45" s="37">
        <v>85.121</v>
      </c>
      <c r="D45" s="30">
        <v>88</v>
      </c>
      <c r="E45" s="30">
        <v>43</v>
      </c>
      <c r="F45" s="35">
        <f>SUM(D45:E45)</f>
        <v>131</v>
      </c>
      <c r="G45" s="31">
        <f>F45-C45</f>
        <v>45.879000000000005</v>
      </c>
      <c r="H45" s="29">
        <f>IF(C45&lt;&gt;0,G45/C45,"")</f>
        <v>0.5389856792095958</v>
      </c>
      <c r="I45" s="31">
        <f>F45-D45</f>
        <v>43</v>
      </c>
      <c r="J45" s="29">
        <f>IF(D45&lt;&gt;0,I45/D45,"")</f>
        <v>0.48863636363636365</v>
      </c>
    </row>
    <row r="46" spans="1:10" ht="12.75">
      <c r="A46" s="99" t="s">
        <v>47</v>
      </c>
      <c r="B46" s="100"/>
      <c r="C46" s="42">
        <v>29.955</v>
      </c>
      <c r="D46" s="32">
        <v>38.8</v>
      </c>
      <c r="E46" s="103">
        <v>0</v>
      </c>
      <c r="F46" s="32">
        <f>SUM(D46:E46)</f>
        <v>38.8</v>
      </c>
      <c r="G46" s="33">
        <f>F46-C46</f>
        <v>8.844999999999999</v>
      </c>
      <c r="H46" s="34">
        <f>IF(C46&lt;&gt;0,G46/C46,"")</f>
        <v>0.29527624770489064</v>
      </c>
      <c r="I46" s="104">
        <f>F46-D46</f>
        <v>0</v>
      </c>
      <c r="J46" s="105">
        <f>IF(D46&lt;&gt;0,I46/D46,"")</f>
        <v>0</v>
      </c>
    </row>
    <row r="47" spans="1:10" ht="12.75">
      <c r="A47" s="47"/>
      <c r="B47" s="48" t="s">
        <v>48</v>
      </c>
      <c r="C47" s="49">
        <f>SUM(C44:C46)</f>
        <v>215.17899999999997</v>
      </c>
      <c r="D47" s="50">
        <f>SUM(D44:D46)</f>
        <v>229.8</v>
      </c>
      <c r="E47" s="50">
        <f>SUM(E44:E46)</f>
        <v>85</v>
      </c>
      <c r="F47" s="51">
        <f>SUM(F44:F46)</f>
        <v>314.8</v>
      </c>
      <c r="G47" s="52">
        <f>F47-C47</f>
        <v>99.62100000000004</v>
      </c>
      <c r="H47" s="53">
        <f>IF(C47&lt;&gt;0,G47/C47,"")</f>
        <v>0.4629680405615792</v>
      </c>
      <c r="I47" s="52">
        <f>F47-D47</f>
        <v>85</v>
      </c>
      <c r="J47" s="53">
        <f>IF(D47&lt;&gt;0,I47/D47,"")</f>
        <v>0.3698868581375109</v>
      </c>
    </row>
    <row r="48" spans="1:10" ht="12.75">
      <c r="A48" s="12"/>
      <c r="B48" s="13"/>
      <c r="C48" s="37"/>
      <c r="D48" s="30"/>
      <c r="E48" s="30"/>
      <c r="F48" s="35"/>
      <c r="G48" s="31"/>
      <c r="H48" s="29"/>
      <c r="I48" s="31"/>
      <c r="J48" s="29"/>
    </row>
    <row r="49" spans="1:10" ht="12.75">
      <c r="A49" s="12"/>
      <c r="B49" s="13" t="s">
        <v>49</v>
      </c>
      <c r="C49" s="37">
        <v>185.152</v>
      </c>
      <c r="D49" s="30">
        <v>199.28</v>
      </c>
      <c r="E49" s="30">
        <v>80</v>
      </c>
      <c r="F49" s="35">
        <f>SUM(D49:E49)</f>
        <v>279.28</v>
      </c>
      <c r="G49" s="31">
        <f>F49-C49</f>
        <v>94.12799999999999</v>
      </c>
      <c r="H49" s="29">
        <f>IF(C49&lt;&gt;0,G49/C49,"")</f>
        <v>0.5083823021085379</v>
      </c>
      <c r="I49" s="31">
        <f>F49-D49</f>
        <v>79.99999999999997</v>
      </c>
      <c r="J49" s="29">
        <f>IF(D49&lt;&gt;0,I49/D49,"")</f>
        <v>0.40144520272982726</v>
      </c>
    </row>
    <row r="50" spans="1:10" ht="7.5" customHeight="1">
      <c r="A50" s="12"/>
      <c r="B50" s="13"/>
      <c r="C50" s="37"/>
      <c r="D50" s="30"/>
      <c r="E50" s="30"/>
      <c r="F50" s="35"/>
      <c r="G50" s="31"/>
      <c r="H50" s="29"/>
      <c r="I50" s="31"/>
      <c r="J50" s="29"/>
    </row>
    <row r="51" spans="1:10" ht="12.75">
      <c r="A51" s="12"/>
      <c r="B51" s="13" t="s">
        <v>50</v>
      </c>
      <c r="C51" s="37">
        <v>47.774</v>
      </c>
      <c r="D51" s="30">
        <v>44.03</v>
      </c>
      <c r="E51" s="30">
        <v>14</v>
      </c>
      <c r="F51" s="35">
        <f>SUM(D51:E51)</f>
        <v>58.03</v>
      </c>
      <c r="G51" s="31">
        <f>F51-C51</f>
        <v>10.256</v>
      </c>
      <c r="H51" s="29">
        <f>IF(C51&lt;&gt;0,G51/C51,"")</f>
        <v>0.21467743961150418</v>
      </c>
      <c r="I51" s="31">
        <f>F51-D51</f>
        <v>14</v>
      </c>
      <c r="J51" s="29">
        <f>IF(D51&lt;&gt;0,I51/D51,"")</f>
        <v>0.3179650238473768</v>
      </c>
    </row>
    <row r="52" spans="1:10" ht="7.5" customHeight="1">
      <c r="A52" s="12"/>
      <c r="B52" s="13"/>
      <c r="C52" s="37"/>
      <c r="D52" s="30"/>
      <c r="E52" s="30"/>
      <c r="F52" s="35"/>
      <c r="G52" s="31"/>
      <c r="H52" s="29"/>
      <c r="I52" s="31"/>
      <c r="J52" s="29"/>
    </row>
    <row r="53" spans="1:10" ht="12.75">
      <c r="A53" s="54" t="s">
        <v>51</v>
      </c>
      <c r="B53" s="13"/>
      <c r="C53" s="37">
        <v>91.188</v>
      </c>
      <c r="D53" s="30">
        <v>98.26</v>
      </c>
      <c r="E53" s="30">
        <v>92</v>
      </c>
      <c r="F53" s="35">
        <f>SUM(D53:E53)</f>
        <v>190.26</v>
      </c>
      <c r="G53" s="31">
        <f>F53-C53</f>
        <v>99.07199999999999</v>
      </c>
      <c r="H53" s="29">
        <f>IF(C53&lt;&gt;0,G53/C53,"")</f>
        <v>1.086458744571654</v>
      </c>
      <c r="I53" s="31">
        <f>F53-D53</f>
        <v>91.99999999999999</v>
      </c>
      <c r="J53" s="29">
        <f>IF(D53&lt;&gt;0,I53/D53,"")</f>
        <v>0.9362914716059432</v>
      </c>
    </row>
    <row r="54" spans="1:10" ht="12.75">
      <c r="A54" s="54" t="s">
        <v>52</v>
      </c>
      <c r="B54" s="13"/>
      <c r="C54" s="37">
        <v>59.062</v>
      </c>
      <c r="D54" s="30">
        <v>65.25</v>
      </c>
      <c r="E54" s="30">
        <v>66.5</v>
      </c>
      <c r="F54" s="35">
        <f>SUM(D54:E54)</f>
        <v>131.75</v>
      </c>
      <c r="G54" s="31">
        <f>F54-C54</f>
        <v>72.688</v>
      </c>
      <c r="H54" s="29">
        <f>IF(C54&lt;&gt;0,G54/C54,"")</f>
        <v>1.2307067149774813</v>
      </c>
      <c r="I54" s="31">
        <f>F54-D54</f>
        <v>66.5</v>
      </c>
      <c r="J54" s="29">
        <f>IF(D54&lt;&gt;0,I54/D54,"")</f>
        <v>1.0191570881226053</v>
      </c>
    </row>
    <row r="55" spans="1:10" ht="12.75">
      <c r="A55" s="54" t="s">
        <v>53</v>
      </c>
      <c r="B55" s="13"/>
      <c r="C55" s="37">
        <v>240.084</v>
      </c>
      <c r="D55" s="30">
        <v>246.87</v>
      </c>
      <c r="E55" s="30">
        <v>15.5</v>
      </c>
      <c r="F55" s="35">
        <f>SUM(D55:E55)</f>
        <v>262.37</v>
      </c>
      <c r="G55" s="31">
        <f>F55-C55</f>
        <v>22.286</v>
      </c>
      <c r="H55" s="29">
        <f>IF(C55&lt;&gt;0,G55/C55,"")</f>
        <v>0.0928258442878326</v>
      </c>
      <c r="I55" s="31">
        <f>F55-D55</f>
        <v>15.5</v>
      </c>
      <c r="J55" s="29">
        <f>IF(D55&lt;&gt;0,I55/D55,"")</f>
        <v>0.06278608174342772</v>
      </c>
    </row>
    <row r="56" spans="1:10" ht="12.75">
      <c r="A56" s="54" t="s">
        <v>54</v>
      </c>
      <c r="B56" s="13"/>
      <c r="C56" s="110" t="s">
        <v>55</v>
      </c>
      <c r="D56" s="111" t="s">
        <v>56</v>
      </c>
      <c r="E56" s="111" t="s">
        <v>57</v>
      </c>
      <c r="F56" s="112" t="s">
        <v>56</v>
      </c>
      <c r="G56" s="113">
        <f>67.52-67.63</f>
        <v>-0.10999999999999943</v>
      </c>
      <c r="H56" s="114">
        <f>-0.11/67.63</f>
        <v>-0.0016264971166642024</v>
      </c>
      <c r="I56" s="115">
        <f>67.52-67.52</f>
        <v>0</v>
      </c>
      <c r="J56" s="116">
        <f>0/67.52</f>
        <v>0</v>
      </c>
    </row>
    <row r="57" spans="1:10" ht="12.75">
      <c r="A57" s="54" t="s">
        <v>58</v>
      </c>
      <c r="B57" s="13"/>
      <c r="C57" s="37">
        <v>5.908</v>
      </c>
      <c r="D57" s="30">
        <v>6.29</v>
      </c>
      <c r="E57" s="123">
        <v>0</v>
      </c>
      <c r="F57" s="35">
        <f>SUM(D57:E57)</f>
        <v>6.29</v>
      </c>
      <c r="G57" s="31">
        <f>F57-C57</f>
        <v>0.3819999999999997</v>
      </c>
      <c r="H57" s="29">
        <f>IF(C57&lt;&gt;0,G57/C57,"")</f>
        <v>0.06465809072444137</v>
      </c>
      <c r="I57" s="106">
        <f>F57-D57</f>
        <v>0</v>
      </c>
      <c r="J57" s="107">
        <f>IF(D57&lt;&gt;0,I57/D57,"")</f>
        <v>0</v>
      </c>
    </row>
    <row r="58" spans="1:10" ht="12.75">
      <c r="A58" s="108" t="s">
        <v>83</v>
      </c>
      <c r="B58" s="100"/>
      <c r="C58" s="42">
        <v>50.888</v>
      </c>
      <c r="D58" s="32">
        <v>54</v>
      </c>
      <c r="E58" s="103">
        <v>0</v>
      </c>
      <c r="F58" s="57">
        <f>SUM(D58:E58)</f>
        <v>54</v>
      </c>
      <c r="G58" s="31">
        <f>F58-C58</f>
        <v>3.112000000000002</v>
      </c>
      <c r="H58" s="34">
        <f>IF(C58&lt;&gt;0,G58/C58,"")</f>
        <v>0.06115390661845626</v>
      </c>
      <c r="I58" s="104">
        <f>F58-D58</f>
        <v>0</v>
      </c>
      <c r="J58" s="105">
        <f>IF(D58&lt;&gt;0,I58/D58,"")</f>
        <v>0</v>
      </c>
    </row>
    <row r="59" spans="1:10" ht="12.75">
      <c r="A59" s="58"/>
      <c r="B59" s="13" t="s">
        <v>59</v>
      </c>
      <c r="C59" s="37">
        <f>C53+C54+C55+C57+C58</f>
        <v>447.13</v>
      </c>
      <c r="D59" s="30">
        <f>SUM(D53:D55,D57:D58)</f>
        <v>470.67</v>
      </c>
      <c r="E59" s="30">
        <f>SUM(E53:E55,E57:E58)</f>
        <v>174</v>
      </c>
      <c r="F59" s="35">
        <f>SUM(F53:F55,F57:F58)</f>
        <v>644.67</v>
      </c>
      <c r="G59" s="44">
        <f>F59-C59</f>
        <v>197.53999999999996</v>
      </c>
      <c r="H59" s="29">
        <f>IF(C59&lt;&gt;0,G59/C59,"")</f>
        <v>0.4417954509874085</v>
      </c>
      <c r="I59" s="36">
        <f>F59-D59</f>
        <v>173.99999999999994</v>
      </c>
      <c r="J59" s="29">
        <f>IF(D59&lt;&gt;0,I59/D59,"")</f>
        <v>0.3696857670979666</v>
      </c>
    </row>
    <row r="60" spans="1:10" ht="6.75" customHeight="1">
      <c r="A60" s="58"/>
      <c r="B60" s="13"/>
      <c r="C60" s="37"/>
      <c r="D60" s="30"/>
      <c r="E60" s="30"/>
      <c r="F60" s="35"/>
      <c r="G60" s="31"/>
      <c r="H60" s="29"/>
      <c r="I60" s="31"/>
      <c r="J60" s="29"/>
    </row>
    <row r="61" spans="1:10" ht="12.75">
      <c r="A61" s="54" t="s">
        <v>61</v>
      </c>
      <c r="B61" s="59"/>
      <c r="C61" s="60">
        <v>120.003</v>
      </c>
      <c r="D61" s="55">
        <v>133</v>
      </c>
      <c r="E61" s="55">
        <v>50</v>
      </c>
      <c r="F61" s="56">
        <f>SUM(D61:E61)</f>
        <v>183</v>
      </c>
      <c r="G61" s="31">
        <f>F61-C61</f>
        <v>62.997</v>
      </c>
      <c r="H61" s="29">
        <f>IF(C61&lt;&gt;0,G61/C61,"")</f>
        <v>0.5249618759531012</v>
      </c>
      <c r="I61" s="31">
        <f>F61-D61</f>
        <v>50</v>
      </c>
      <c r="J61" s="38">
        <f>IF(D61&lt;&gt;0,I61/D61,"")</f>
        <v>0.37593984962406013</v>
      </c>
    </row>
    <row r="62" spans="1:10" ht="12.75">
      <c r="A62" s="54" t="s">
        <v>62</v>
      </c>
      <c r="B62" s="59"/>
      <c r="C62" s="60">
        <f>238.56-120.003</f>
        <v>118.557</v>
      </c>
      <c r="D62" s="55">
        <f>130.03</f>
        <v>130.03</v>
      </c>
      <c r="E62" s="55">
        <v>500</v>
      </c>
      <c r="F62" s="56">
        <f>SUM(D62:E62)</f>
        <v>630.03</v>
      </c>
      <c r="G62" s="31">
        <f>F62-C62</f>
        <v>511.47299999999996</v>
      </c>
      <c r="H62" s="29">
        <f>IF(C62&lt;&gt;0,G62/C62,"")</f>
        <v>4.314152686049748</v>
      </c>
      <c r="I62" s="31">
        <f>F62-D62</f>
        <v>500</v>
      </c>
      <c r="J62" s="38">
        <f>IF(D62&lt;&gt;0,I62/D62,"")</f>
        <v>3.8452664769668536</v>
      </c>
    </row>
    <row r="63" spans="1:10" ht="12.75">
      <c r="A63" s="54" t="s">
        <v>84</v>
      </c>
      <c r="B63" s="59"/>
      <c r="C63" s="128" t="s">
        <v>63</v>
      </c>
      <c r="D63" s="111" t="s">
        <v>64</v>
      </c>
      <c r="E63" s="111" t="s">
        <v>65</v>
      </c>
      <c r="F63" s="112" t="s">
        <v>66</v>
      </c>
      <c r="G63" s="129">
        <f>300-93.87</f>
        <v>206.13</v>
      </c>
      <c r="H63" s="130">
        <f>206.13/93.87</f>
        <v>2.1959092361776924</v>
      </c>
      <c r="I63" s="129">
        <f>300-100</f>
        <v>200</v>
      </c>
      <c r="J63" s="131">
        <f>IF(D63&lt;&gt;0,200/100,"N/A  ")</f>
        <v>2</v>
      </c>
    </row>
    <row r="64" spans="1:10" ht="12.75">
      <c r="A64" s="108" t="s">
        <v>67</v>
      </c>
      <c r="B64" s="109"/>
      <c r="C64" s="117" t="s">
        <v>57</v>
      </c>
      <c r="D64" s="118" t="s">
        <v>57</v>
      </c>
      <c r="E64" s="118" t="s">
        <v>66</v>
      </c>
      <c r="F64" s="119" t="s">
        <v>66</v>
      </c>
      <c r="G64" s="120">
        <f>300-0</f>
        <v>300</v>
      </c>
      <c r="H64" s="121" t="s">
        <v>68</v>
      </c>
      <c r="I64" s="120">
        <f>300-0</f>
        <v>300</v>
      </c>
      <c r="J64" s="122" t="s">
        <v>68</v>
      </c>
    </row>
    <row r="65" spans="1:10" ht="12.75">
      <c r="A65" s="12"/>
      <c r="B65" s="13" t="s">
        <v>60</v>
      </c>
      <c r="C65" s="37">
        <v>238.56</v>
      </c>
      <c r="D65" s="30">
        <f>SUM(D61:D62)</f>
        <v>263.03</v>
      </c>
      <c r="E65" s="30">
        <v>550</v>
      </c>
      <c r="F65" s="35">
        <f>SUM(D65:E65)</f>
        <v>813.03</v>
      </c>
      <c r="G65" s="31">
        <f>F65-C65</f>
        <v>574.47</v>
      </c>
      <c r="H65" s="29">
        <f>IF(C65&lt;&gt;0,G65/C65,"")</f>
        <v>2.408073440643863</v>
      </c>
      <c r="I65" s="31">
        <f>F65-D65</f>
        <v>550</v>
      </c>
      <c r="J65" s="38">
        <f>IF(D65&lt;&gt;0,I65/D65,"")</f>
        <v>2.0910162338896705</v>
      </c>
    </row>
    <row r="66" spans="1:10" ht="7.5" customHeight="1">
      <c r="A66" s="12"/>
      <c r="B66" s="13"/>
      <c r="C66" s="37"/>
      <c r="D66" s="60"/>
      <c r="E66" s="60"/>
      <c r="F66" s="35"/>
      <c r="G66" s="31"/>
      <c r="H66" s="29"/>
      <c r="I66" s="31"/>
      <c r="J66" s="29"/>
    </row>
    <row r="67" spans="1:10" ht="12.75" customHeight="1" thickBot="1">
      <c r="A67" s="61"/>
      <c r="B67" s="62" t="s">
        <v>69</v>
      </c>
      <c r="C67" s="63">
        <v>1.47</v>
      </c>
      <c r="D67" s="63">
        <v>1.5</v>
      </c>
      <c r="E67" s="126">
        <v>0</v>
      </c>
      <c r="F67" s="35">
        <f>SUM(D67:E67)</f>
        <v>1.5</v>
      </c>
      <c r="G67" s="64">
        <f>F67-C67</f>
        <v>0.030000000000000027</v>
      </c>
      <c r="H67" s="65">
        <f>IF(C67&lt;&gt;0,G67/C67,"")</f>
        <v>0.02040816326530614</v>
      </c>
      <c r="I67" s="124">
        <f>F67-D67</f>
        <v>0</v>
      </c>
      <c r="J67" s="125">
        <f>IF(D67&lt;&gt;0,I67/D67,"")</f>
        <v>0</v>
      </c>
    </row>
    <row r="68" spans="1:10" ht="7.5" customHeight="1" thickTop="1">
      <c r="A68" s="12"/>
      <c r="B68" s="13"/>
      <c r="C68" s="66"/>
      <c r="D68" s="66"/>
      <c r="E68" s="66"/>
      <c r="F68" s="67"/>
      <c r="G68" s="31"/>
      <c r="H68" s="29"/>
      <c r="I68" s="31"/>
      <c r="J68" s="29"/>
    </row>
    <row r="69" spans="1:10" ht="12.75">
      <c r="A69" s="12"/>
      <c r="B69" s="13" t="s">
        <v>70</v>
      </c>
      <c r="C69" s="26">
        <f>SUM(C14,C20,C28,C34,C42,C47,C51,C49,C59,C65,C67)</f>
        <v>4853.245</v>
      </c>
      <c r="D69" s="68">
        <f>SUM(D14,D20,D28,D34,D42,D47,D51,D49,D59,D65,D67)</f>
        <v>5183.099999999999</v>
      </c>
      <c r="E69" s="68">
        <f>SUM(E14,E20,E28,E34,E42,E47,E51,E49,E59,E65,E67)</f>
        <v>2500</v>
      </c>
      <c r="F69" s="69">
        <f>SUM(F14,F20,F28,F34,F42,F47,F51,F49,F59,F65,F67)</f>
        <v>7683.099999999999</v>
      </c>
      <c r="G69" s="81">
        <f>F69-C69</f>
        <v>2829.8549999999996</v>
      </c>
      <c r="H69" s="29">
        <f>IF(C69&lt;&gt;0,G69/C69,"")</f>
        <v>0.5830851317005425</v>
      </c>
      <c r="I69" s="81">
        <f>F69-D69</f>
        <v>2500</v>
      </c>
      <c r="J69" s="29">
        <f>IF(D69&lt;&gt;0,I69/D69,"")</f>
        <v>0.48233682545194967</v>
      </c>
    </row>
    <row r="70" spans="1:10" ht="7.5" customHeight="1" thickBot="1">
      <c r="A70" s="61"/>
      <c r="B70" s="62"/>
      <c r="C70" s="70"/>
      <c r="D70" s="70"/>
      <c r="E70" s="70"/>
      <c r="F70" s="71"/>
      <c r="G70" s="64"/>
      <c r="H70" s="65"/>
      <c r="I70" s="64"/>
      <c r="J70" s="65"/>
    </row>
    <row r="71" spans="1:10" ht="13.5" thickTop="1">
      <c r="A71" s="12"/>
      <c r="B71" s="13"/>
      <c r="C71" s="72"/>
      <c r="D71" s="72"/>
      <c r="E71" s="72"/>
      <c r="F71" s="73"/>
      <c r="G71" s="31"/>
      <c r="H71" s="29"/>
      <c r="I71" s="31"/>
      <c r="J71" s="29"/>
    </row>
    <row r="72" spans="1:10" ht="12.75">
      <c r="A72" s="25" t="s">
        <v>71</v>
      </c>
      <c r="B72" s="13"/>
      <c r="C72" s="37">
        <v>254</v>
      </c>
      <c r="D72" s="37">
        <v>283.23</v>
      </c>
      <c r="E72" s="37">
        <v>85</v>
      </c>
      <c r="F72" s="35">
        <f>SUM(D72:E72)</f>
        <v>368.23</v>
      </c>
      <c r="G72" s="31">
        <f>F72-C72</f>
        <v>114.23000000000002</v>
      </c>
      <c r="H72" s="29">
        <f>IF(C72&lt;&gt;0,G72/C72,"")</f>
        <v>0.449724409448819</v>
      </c>
      <c r="I72" s="31">
        <f>F72-D72</f>
        <v>85</v>
      </c>
      <c r="J72" s="29">
        <f>IF(D72&lt;&gt;0,I72/D72,"")</f>
        <v>0.30010945168237824</v>
      </c>
    </row>
    <row r="73" spans="1:10" ht="12.75">
      <c r="A73" s="25" t="s">
        <v>72</v>
      </c>
      <c r="B73" s="13"/>
      <c r="C73" s="37">
        <v>159.588</v>
      </c>
      <c r="D73" s="37">
        <v>181.5</v>
      </c>
      <c r="E73" s="37">
        <v>15</v>
      </c>
      <c r="F73" s="35">
        <f>SUM(D73:E73)</f>
        <v>196.5</v>
      </c>
      <c r="G73" s="31">
        <f>F73-C73</f>
        <v>36.912000000000006</v>
      </c>
      <c r="H73" s="29">
        <f>IF(C73&lt;&gt;0,G73/C73,"")</f>
        <v>0.23129558613429585</v>
      </c>
      <c r="I73" s="31">
        <f>F73-D73</f>
        <v>15</v>
      </c>
      <c r="J73" s="29">
        <f>IF(D73&lt;&gt;0,I73/D73,"")</f>
        <v>0.08264462809917356</v>
      </c>
    </row>
    <row r="74" spans="1:10" ht="12.75">
      <c r="A74" s="25" t="s">
        <v>73</v>
      </c>
      <c r="B74" s="13"/>
      <c r="C74" s="37">
        <v>140.373</v>
      </c>
      <c r="D74" s="37">
        <v>154.03</v>
      </c>
      <c r="E74" s="123">
        <v>0</v>
      </c>
      <c r="F74" s="35">
        <f>SUM(D74:E74)</f>
        <v>154.03</v>
      </c>
      <c r="G74" s="31">
        <f>F74-C74</f>
        <v>13.65700000000001</v>
      </c>
      <c r="H74" s="29">
        <f>IF(C74&lt;&gt;0,G74/C74,"")</f>
        <v>0.09729078953929896</v>
      </c>
      <c r="I74" s="115">
        <f>F74-D74</f>
        <v>0</v>
      </c>
      <c r="J74" s="116">
        <f>IF(D74&lt;&gt;0,I74/D74,"")</f>
        <v>0</v>
      </c>
    </row>
    <row r="75" spans="1:10" ht="12.75">
      <c r="A75" s="25" t="s">
        <v>74</v>
      </c>
      <c r="B75" s="13"/>
      <c r="C75" s="37">
        <v>212.299</v>
      </c>
      <c r="D75" s="37">
        <v>226.5</v>
      </c>
      <c r="E75" s="123">
        <v>0</v>
      </c>
      <c r="F75" s="35">
        <f>SUM(D75:E75)</f>
        <v>226.5</v>
      </c>
      <c r="G75" s="31">
        <f>F75-C75</f>
        <v>14.200999999999993</v>
      </c>
      <c r="H75" s="29">
        <f>IF(C75&lt;&gt;0,G75/C75,"")</f>
        <v>0.06689150678995187</v>
      </c>
      <c r="I75" s="106">
        <f>F75-D75</f>
        <v>0</v>
      </c>
      <c r="J75" s="107">
        <f>IF(D75&lt;&gt;0,I75/D75,"")</f>
        <v>0</v>
      </c>
    </row>
    <row r="76" spans="1:10" ht="13.5" thickBot="1">
      <c r="A76" s="74"/>
      <c r="B76" s="62"/>
      <c r="C76" s="63"/>
      <c r="D76" s="63"/>
      <c r="E76" s="63"/>
      <c r="F76" s="75"/>
      <c r="G76" s="64"/>
      <c r="H76" s="65"/>
      <c r="I76" s="64"/>
      <c r="J76" s="65"/>
    </row>
    <row r="77" spans="1:10" ht="7.5" customHeight="1" thickTop="1">
      <c r="A77" s="25"/>
      <c r="B77" s="13"/>
      <c r="C77" s="37"/>
      <c r="D77" s="72"/>
      <c r="E77" s="72"/>
      <c r="F77" s="73"/>
      <c r="G77" s="31"/>
      <c r="H77" s="29"/>
      <c r="I77" s="31"/>
      <c r="J77" s="29"/>
    </row>
    <row r="78" spans="1:10" ht="12.75">
      <c r="A78" s="12"/>
      <c r="B78" s="40" t="s">
        <v>75</v>
      </c>
      <c r="C78" s="26">
        <f>SUM(C72:C75)</f>
        <v>766.26</v>
      </c>
      <c r="D78" s="68">
        <f>ROUND(SUM(D72:D75),2)</f>
        <v>845.26</v>
      </c>
      <c r="E78" s="68">
        <f>ROUND(SUM(E72:E75),2)</f>
        <v>100</v>
      </c>
      <c r="F78" s="69">
        <f>SUM(F72:F75)</f>
        <v>945.26</v>
      </c>
      <c r="G78" s="28">
        <f>F78-C78</f>
        <v>179</v>
      </c>
      <c r="H78" s="29">
        <f>IF(C78&lt;&gt;0,G78/C78,"")</f>
        <v>0.2336021715866677</v>
      </c>
      <c r="I78" s="28">
        <f>F78-D78</f>
        <v>100</v>
      </c>
      <c r="J78" s="29">
        <f>IF(D78&lt;&gt;0,I78/D78,"")</f>
        <v>0.11830679317606417</v>
      </c>
    </row>
    <row r="79" spans="1:10" ht="7.5" customHeight="1" thickBot="1">
      <c r="A79" s="61"/>
      <c r="B79" s="62"/>
      <c r="C79" s="76"/>
      <c r="D79" s="76"/>
      <c r="E79" s="76"/>
      <c r="F79" s="77"/>
      <c r="G79" s="78"/>
      <c r="H79" s="65"/>
      <c r="I79" s="78"/>
      <c r="J79" s="65"/>
    </row>
    <row r="80" spans="1:10" ht="13.5" thickTop="1">
      <c r="A80" s="12"/>
      <c r="B80" s="13"/>
      <c r="C80" s="68"/>
      <c r="D80" s="68"/>
      <c r="E80" s="68"/>
      <c r="F80" s="27"/>
      <c r="G80" s="28"/>
      <c r="H80" s="29"/>
      <c r="I80" s="28"/>
      <c r="J80" s="29"/>
    </row>
    <row r="81" spans="1:10" ht="12.75">
      <c r="A81" s="12"/>
      <c r="B81" s="13" t="s">
        <v>76</v>
      </c>
      <c r="C81" s="68">
        <v>166.845</v>
      </c>
      <c r="D81" s="26">
        <v>152.01</v>
      </c>
      <c r="E81" s="26">
        <v>400</v>
      </c>
      <c r="F81" s="27">
        <f>SUM(D81:E81)</f>
        <v>552.01</v>
      </c>
      <c r="G81" s="28">
        <f>F81-C81</f>
        <v>385.16499999999996</v>
      </c>
      <c r="H81" s="29">
        <f>IF(C81&lt;&gt;0,G81/C81,"")</f>
        <v>2.3085198837244145</v>
      </c>
      <c r="I81" s="28">
        <f>F81-D81</f>
        <v>400</v>
      </c>
      <c r="J81" s="29">
        <f>IF(D81&lt;&gt;0,I81/D81,"")</f>
        <v>2.6314058285639104</v>
      </c>
    </row>
    <row r="82" spans="1:10" ht="12.75">
      <c r="A82" s="12"/>
      <c r="B82" s="13"/>
      <c r="C82" s="37"/>
      <c r="D82" s="37"/>
      <c r="E82" s="37"/>
      <c r="F82" s="35"/>
      <c r="G82" s="28"/>
      <c r="H82" s="29"/>
      <c r="I82" s="28"/>
      <c r="J82" s="29"/>
    </row>
    <row r="83" spans="1:10" ht="12.75">
      <c r="A83" s="12"/>
      <c r="B83" s="13" t="s">
        <v>77</v>
      </c>
      <c r="C83" s="68">
        <v>282.04</v>
      </c>
      <c r="D83" s="68">
        <v>294</v>
      </c>
      <c r="E83" s="134">
        <v>0</v>
      </c>
      <c r="F83" s="27">
        <f>SUM(D83:E83)</f>
        <v>294</v>
      </c>
      <c r="G83" s="28">
        <f>F83-C83</f>
        <v>11.95999999999998</v>
      </c>
      <c r="H83" s="29">
        <f>IF(C83&lt;&gt;0,G83/C83,"")</f>
        <v>0.04240533257693937</v>
      </c>
      <c r="I83" s="133">
        <f>F83-D83</f>
        <v>0</v>
      </c>
      <c r="J83" s="107">
        <f>IF(D83&lt;&gt;0,I83/D83,"")</f>
        <v>0</v>
      </c>
    </row>
    <row r="84" spans="1:10" ht="12.75">
      <c r="A84" s="12"/>
      <c r="B84" s="13"/>
      <c r="C84" s="37"/>
      <c r="D84" s="37"/>
      <c r="E84" s="37"/>
      <c r="F84" s="35"/>
      <c r="G84" s="28"/>
      <c r="H84" s="29"/>
      <c r="I84" s="28"/>
      <c r="J84" s="29"/>
    </row>
    <row r="85" spans="1:10" ht="12.75">
      <c r="A85" s="12"/>
      <c r="B85" s="13" t="s">
        <v>78</v>
      </c>
      <c r="C85" s="68">
        <v>11.825</v>
      </c>
      <c r="D85" s="68">
        <v>12</v>
      </c>
      <c r="E85" s="68">
        <v>2</v>
      </c>
      <c r="F85" s="27">
        <f>SUM(D85:E85)</f>
        <v>14</v>
      </c>
      <c r="G85" s="28">
        <f>F85-C85</f>
        <v>2.1750000000000007</v>
      </c>
      <c r="H85" s="29">
        <f>IF(C85&lt;&gt;0,G85/C85,"")</f>
        <v>0.18393234672304448</v>
      </c>
      <c r="I85" s="28">
        <f>F85-D85</f>
        <v>2</v>
      </c>
      <c r="J85" s="29">
        <f>IF(D85&lt;&gt;0,I85/D85,"")</f>
        <v>0.16666666666666666</v>
      </c>
    </row>
    <row r="86" spans="1:10" ht="12.75">
      <c r="A86" s="12"/>
      <c r="B86" s="13"/>
      <c r="C86" s="37"/>
      <c r="D86" s="37"/>
      <c r="E86" s="37"/>
      <c r="F86" s="35"/>
      <c r="G86" s="28"/>
      <c r="H86" s="29"/>
      <c r="I86" s="28"/>
      <c r="J86" s="29"/>
    </row>
    <row r="87" spans="1:10" ht="12.75">
      <c r="A87" s="12"/>
      <c r="B87" s="13" t="s">
        <v>79</v>
      </c>
      <c r="C87" s="68">
        <v>3.825</v>
      </c>
      <c r="D87" s="68">
        <v>4.03</v>
      </c>
      <c r="E87" s="134">
        <v>0</v>
      </c>
      <c r="F87" s="27">
        <f>SUM(D87:E87)</f>
        <v>4.03</v>
      </c>
      <c r="G87" s="132">
        <f>F87-C87</f>
        <v>0.20500000000000007</v>
      </c>
      <c r="H87" s="79">
        <f>IF(C87&lt;&gt;0,G87/C87,"")</f>
        <v>0.05359477124183008</v>
      </c>
      <c r="I87" s="133">
        <f>F87-D87</f>
        <v>0</v>
      </c>
      <c r="J87" s="107">
        <f>IF(D87&lt;&gt;0,I87/D87,"")</f>
        <v>0</v>
      </c>
    </row>
    <row r="88" spans="1:10" ht="13.5" thickBot="1">
      <c r="A88" s="12"/>
      <c r="B88" s="13"/>
      <c r="C88" s="80"/>
      <c r="D88" s="68"/>
      <c r="E88" s="68"/>
      <c r="F88" s="81"/>
      <c r="G88" s="28"/>
      <c r="H88" s="29"/>
      <c r="I88" s="31"/>
      <c r="J88" s="29"/>
    </row>
    <row r="89" spans="1:10" ht="7.5" customHeight="1">
      <c r="A89" s="9"/>
      <c r="B89" s="10"/>
      <c r="C89" s="82"/>
      <c r="D89" s="82"/>
      <c r="E89" s="82"/>
      <c r="F89" s="83"/>
      <c r="G89" s="84"/>
      <c r="H89" s="85"/>
      <c r="I89" s="86"/>
      <c r="J89" s="85"/>
    </row>
    <row r="90" spans="1:10" ht="12.75">
      <c r="A90" s="12"/>
      <c r="B90" s="13" t="s">
        <v>80</v>
      </c>
      <c r="C90" s="26">
        <f>ROUND(SUM(C69,C78,C81,C83,C87,C85),2)</f>
        <v>6084.04</v>
      </c>
      <c r="D90" s="68">
        <f>SUM(D69,D78,D81,D83,D87,D85)</f>
        <v>6490.4</v>
      </c>
      <c r="E90" s="68">
        <f>SUM(E69,E78,E81,E83,E87,E85)</f>
        <v>3002</v>
      </c>
      <c r="F90" s="69">
        <f>SUM(F69,F78,F81,F83,F87,F85)</f>
        <v>9492.4</v>
      </c>
      <c r="G90" s="87">
        <f>F90-C90</f>
        <v>3408.3599999999997</v>
      </c>
      <c r="H90" s="29">
        <f>IF(C90&lt;&gt;0,G90/C90,"")</f>
        <v>0.5602132793341266</v>
      </c>
      <c r="I90" s="87">
        <f>F90-D90</f>
        <v>3002</v>
      </c>
      <c r="J90" s="29">
        <f>IF(D90&lt;&gt;0,I90/D90,"")</f>
        <v>0.46252927400468385</v>
      </c>
    </row>
    <row r="91" spans="1:10" ht="7.5" customHeight="1" thickBot="1">
      <c r="A91" s="88"/>
      <c r="B91" s="89"/>
      <c r="C91" s="90"/>
      <c r="D91" s="90"/>
      <c r="E91" s="90"/>
      <c r="F91" s="91"/>
      <c r="G91" s="92"/>
      <c r="H91" s="93"/>
      <c r="I91" s="94"/>
      <c r="J91" s="93"/>
    </row>
    <row r="92" spans="2:15" ht="12.75">
      <c r="B92" s="127" t="s">
        <v>81</v>
      </c>
      <c r="C92" s="96" t="s">
        <v>82</v>
      </c>
      <c r="D92" s="97" t="s">
        <v>82</v>
      </c>
      <c r="E92" s="97"/>
      <c r="F92" s="96" t="s">
        <v>82</v>
      </c>
      <c r="H92" s="98"/>
      <c r="J92" s="98"/>
      <c r="K92" s="96" t="s">
        <v>82</v>
      </c>
      <c r="M92" s="98"/>
      <c r="O92" s="98"/>
    </row>
    <row r="93" spans="2:15" ht="12.75">
      <c r="B93" s="95"/>
      <c r="C93" s="97"/>
      <c r="D93" s="97"/>
      <c r="E93" s="97"/>
      <c r="F93" s="97"/>
      <c r="H93" s="98"/>
      <c r="J93" s="98"/>
      <c r="K93" s="97"/>
      <c r="M93" s="98"/>
      <c r="O93" s="98"/>
    </row>
    <row r="94" spans="2:7" ht="12.75">
      <c r="B94" s="139"/>
      <c r="C94" s="140"/>
      <c r="D94" s="140"/>
      <c r="E94" s="140"/>
      <c r="F94" s="140"/>
      <c r="G94" s="140"/>
    </row>
  </sheetData>
  <mergeCells count="12">
    <mergeCell ref="A1:J1"/>
    <mergeCell ref="A2:J2"/>
    <mergeCell ref="A3:J3"/>
    <mergeCell ref="C5:C7"/>
    <mergeCell ref="D5:D7"/>
    <mergeCell ref="E5:E7"/>
    <mergeCell ref="F5:F7"/>
    <mergeCell ref="G5:J5"/>
    <mergeCell ref="G6:H6"/>
    <mergeCell ref="I6:J6"/>
    <mergeCell ref="A27:B27"/>
    <mergeCell ref="B94:G94"/>
  </mergeCells>
  <printOptions horizontalCentered="1"/>
  <pageMargins left="0.75" right="0.75" top="0.78" bottom="0.92" header="0.5" footer="0.5"/>
  <pageSetup firstPageNumber="11" useFirstPageNumber="1" horizontalDpi="600" verticalDpi="600" orientation="landscape" scale="80" r:id="rId1"/>
  <headerFooter alignWithMargins="0">
    <oddFooter>&amp;C&amp;"Times New Roman,Regular"ARRA - &amp;P</oddFooter>
  </headerFooter>
  <rowBreaks count="1" manualBreakCount="1">
    <brk id="47" max="255" man="1"/>
  </rowBreaks>
  <ignoredErrors>
    <ignoredError sqref="F9:F61 F67:F87" formulaRange="1"/>
    <ignoredError sqref="G56:J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Chantel Sabus</cp:lastModifiedBy>
  <cp:lastPrinted>2009-05-12T13:44:13Z</cp:lastPrinted>
  <dcterms:created xsi:type="dcterms:W3CDTF">2009-05-07T15:42:50Z</dcterms:created>
  <dcterms:modified xsi:type="dcterms:W3CDTF">2009-05-12T13:44:18Z</dcterms:modified>
  <cp:category/>
  <cp:version/>
  <cp:contentType/>
  <cp:contentStatus/>
</cp:coreProperties>
</file>