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0725"/>
  </bookViews>
  <sheets>
    <sheet name="NSF BP Programs" sheetId="1" r:id="rId1"/>
  </sheets>
  <calcPr calcId="145621"/>
</workbook>
</file>

<file path=xl/calcChain.xml><?xml version="1.0" encoding="utf-8"?>
<calcChain xmlns="http://schemas.openxmlformats.org/spreadsheetml/2006/main">
  <c r="F44" i="1" l="1"/>
  <c r="G44" i="1" s="1"/>
  <c r="E43" i="1"/>
  <c r="F43" i="1" s="1"/>
  <c r="D43" i="1"/>
  <c r="G43" i="1" s="1"/>
  <c r="C43" i="1"/>
  <c r="F41" i="1"/>
  <c r="G41" i="1" s="1"/>
  <c r="E41" i="1"/>
  <c r="D41" i="1"/>
  <c r="C41" i="1"/>
  <c r="E40" i="1"/>
  <c r="D40" i="1"/>
  <c r="F40" i="1" s="1"/>
  <c r="G40" i="1" s="1"/>
  <c r="C40" i="1"/>
  <c r="E39" i="1"/>
  <c r="F39" i="1" s="1"/>
  <c r="D39" i="1"/>
  <c r="G39" i="1" s="1"/>
  <c r="C39" i="1"/>
  <c r="E38" i="1"/>
  <c r="F38" i="1" s="1"/>
  <c r="D38" i="1"/>
  <c r="G38" i="1" s="1"/>
  <c r="C38" i="1"/>
  <c r="F37" i="1"/>
  <c r="G37" i="1" s="1"/>
  <c r="E37" i="1"/>
  <c r="D37" i="1"/>
  <c r="C37" i="1"/>
  <c r="E36" i="1"/>
  <c r="D36" i="1"/>
  <c r="F36" i="1" s="1"/>
  <c r="G36" i="1" s="1"/>
  <c r="C36" i="1"/>
  <c r="E35" i="1"/>
  <c r="F35" i="1" s="1"/>
  <c r="D35" i="1"/>
  <c r="C35" i="1"/>
  <c r="E34" i="1"/>
  <c r="F34" i="1" s="1"/>
  <c r="D34" i="1"/>
  <c r="G34" i="1" s="1"/>
  <c r="C34" i="1"/>
  <c r="F33" i="1"/>
  <c r="G33" i="1" s="1"/>
  <c r="E33" i="1"/>
  <c r="D33" i="1"/>
  <c r="C33" i="1"/>
  <c r="G32" i="1"/>
  <c r="E32" i="1"/>
  <c r="D32" i="1"/>
  <c r="F32" i="1" s="1"/>
  <c r="C32" i="1"/>
  <c r="C30" i="1" s="1"/>
  <c r="C42" i="1" s="1"/>
  <c r="C45" i="1" s="1"/>
  <c r="E31" i="1"/>
  <c r="F31" i="1" s="1"/>
  <c r="D31" i="1"/>
  <c r="G31" i="1" s="1"/>
  <c r="C31" i="1"/>
  <c r="E30" i="1"/>
  <c r="F29" i="1"/>
  <c r="G29" i="1" s="1"/>
  <c r="G28" i="1"/>
  <c r="F28" i="1"/>
  <c r="F27" i="1"/>
  <c r="G27" i="1" s="1"/>
  <c r="G26" i="1"/>
  <c r="F26" i="1"/>
  <c r="F25" i="1"/>
  <c r="G25" i="1" s="1"/>
  <c r="G24" i="1"/>
  <c r="F24" i="1"/>
  <c r="F23" i="1"/>
  <c r="G23" i="1" s="1"/>
  <c r="G22" i="1"/>
  <c r="F22" i="1"/>
  <c r="F21" i="1"/>
  <c r="G21" i="1" s="1"/>
  <c r="G20" i="1"/>
  <c r="F20" i="1"/>
  <c r="F19" i="1"/>
  <c r="G19" i="1" s="1"/>
  <c r="G18" i="1"/>
  <c r="F18" i="1"/>
  <c r="F17" i="1"/>
  <c r="G17" i="1" s="1"/>
  <c r="G16" i="1"/>
  <c r="F16" i="1"/>
  <c r="F15" i="1"/>
  <c r="G15" i="1" s="1"/>
  <c r="G14" i="1"/>
  <c r="F14" i="1"/>
  <c r="F13" i="1"/>
  <c r="G13" i="1" s="1"/>
  <c r="G12" i="1"/>
  <c r="F12" i="1"/>
  <c r="F11" i="1"/>
  <c r="G11" i="1" s="1"/>
  <c r="E10" i="1"/>
  <c r="F10" i="1" s="1"/>
  <c r="D10" i="1"/>
  <c r="G10" i="1" s="1"/>
  <c r="C10" i="1"/>
  <c r="G35" i="1" l="1"/>
  <c r="E42" i="1"/>
  <c r="D30" i="1"/>
  <c r="D42" i="1" l="1"/>
  <c r="E45" i="1"/>
  <c r="F42" i="1"/>
  <c r="F30" i="1"/>
  <c r="G30" i="1" s="1"/>
  <c r="G42" i="1" l="1"/>
  <c r="D45" i="1"/>
  <c r="G45" i="1" l="1"/>
  <c r="F45" i="1"/>
</calcChain>
</file>

<file path=xl/sharedStrings.xml><?xml version="1.0" encoding="utf-8"?>
<sst xmlns="http://schemas.openxmlformats.org/spreadsheetml/2006/main" count="55" uniqueCount="55">
  <si>
    <t>National Science Foundation</t>
  </si>
  <si>
    <t>Programs to Broaden Participation</t>
  </si>
  <si>
    <t>FY 2016 Request to Congress</t>
  </si>
  <si>
    <t>(Dollars in Millions)</t>
  </si>
  <si>
    <t>FY 2014
Actual</t>
  </si>
  <si>
    <t>FY 2015
Estimate</t>
  </si>
  <si>
    <t>FY 2016
Request</t>
  </si>
  <si>
    <t>FY 2016 Request
Change Over
FY 2015 Estimate</t>
  </si>
  <si>
    <t>Group/Program</t>
  </si>
  <si>
    <t>Amount of
Funding
Captured</t>
  </si>
  <si>
    <t>Amount</t>
  </si>
  <si>
    <t>Percent</t>
  </si>
  <si>
    <t xml:space="preserve">Focused Programs </t>
  </si>
  <si>
    <t>ADVANCE</t>
  </si>
  <si>
    <t>Alliances for Graduate Education &amp; the Professoriate
   (AGEP)</t>
  </si>
  <si>
    <t>AGEP Graduate Research Supplements</t>
  </si>
  <si>
    <t>Broadening Participation in Biology Fellowships</t>
  </si>
  <si>
    <t>Broadening Participation in Engineering (BPE)</t>
  </si>
  <si>
    <t>Career-Life Balance (CLB)</t>
  </si>
  <si>
    <t>Centers of Research Excellence in Science &amp; 
   Technology (CREST)</t>
  </si>
  <si>
    <r>
      <t>Engineering Graduate Research Diversity Supplements
   (GRDS)</t>
    </r>
    <r>
      <rPr>
        <vertAlign val="superscript"/>
        <sz val="10"/>
        <color theme="1"/>
        <rFont val="Arial"/>
        <family val="2"/>
      </rPr>
      <t>1</t>
    </r>
  </si>
  <si>
    <r>
      <t>Excellence Awards in Science &amp; Engineering (EASE)</t>
    </r>
    <r>
      <rPr>
        <vertAlign val="superscript"/>
        <sz val="10"/>
        <rFont val="Arial"/>
        <family val="2"/>
      </rPr>
      <t>2</t>
    </r>
  </si>
  <si>
    <t>Geosciences Postdoctoral Fellowships</t>
  </si>
  <si>
    <t>Historically Black Colleges &amp; Universities Undergraduate 
   Program (HBCU-UP)</t>
  </si>
  <si>
    <t>Inclusion across the Nation of Communities of Learners 
   that have been Underrepresented for Diversity in
   Engineering and Science (NSF INCLUDES)</t>
  </si>
  <si>
    <t>Louis Stokes Alliances for Minority Participation (LSAMP)</t>
  </si>
  <si>
    <t>Partnerships for Research &amp; Education in Materials (PREM)</t>
  </si>
  <si>
    <t>Partnerships in Astronomy &amp; Astrophysics Research 
   Education (PAARE)</t>
  </si>
  <si>
    <t>Pre-Engineering Education Collaboratives (PEEC)</t>
  </si>
  <si>
    <t>SBE Postdoctoral Research Fellowships-Broadening 
   Participation</t>
  </si>
  <si>
    <t>Tribal Colleges &amp; Universities Program (TCUP)</t>
  </si>
  <si>
    <t>SBE Science of Broadening Participation</t>
  </si>
  <si>
    <t>Emphasis Programs</t>
  </si>
  <si>
    <t>Advancing Informal STEM Learning (AISL)</t>
  </si>
  <si>
    <r>
      <t>Centers for Ocean Science Education Excellence (COSEE)</t>
    </r>
    <r>
      <rPr>
        <vertAlign val="superscript"/>
        <sz val="10"/>
        <color theme="1"/>
        <rFont val="Arial"/>
        <family val="2"/>
      </rPr>
      <t>3</t>
    </r>
  </si>
  <si>
    <t>Discovery Research K-12 (DR-K12)</t>
  </si>
  <si>
    <t>Graduate Research Fellowship (GRF)</t>
  </si>
  <si>
    <r>
      <t>Innovative Technology Experiences for Teachers &amp; 
   Students (ITEST)</t>
    </r>
    <r>
      <rPr>
        <vertAlign val="superscript"/>
        <sz val="10"/>
        <color theme="1"/>
        <rFont val="Arial"/>
        <family val="2"/>
      </rPr>
      <t>4</t>
    </r>
  </si>
  <si>
    <t>International Research Experiences for Students (IRES)</t>
  </si>
  <si>
    <t>Noyce Scholarships</t>
  </si>
  <si>
    <r>
      <t>NSF Scholarships in STEM (S-STEM)</t>
    </r>
    <r>
      <rPr>
        <vertAlign val="superscript"/>
        <sz val="10"/>
        <color theme="1"/>
        <rFont val="Arial"/>
        <family val="2"/>
      </rPr>
      <t>4</t>
    </r>
  </si>
  <si>
    <r>
      <t>Ocean Sciences Research Initiation Grants (OCE-RIG)</t>
    </r>
    <r>
      <rPr>
        <vertAlign val="superscript"/>
        <sz val="10"/>
        <rFont val="Arial"/>
        <family val="2"/>
      </rPr>
      <t>5</t>
    </r>
  </si>
  <si>
    <r>
      <t>Science of Learning Centers (SLCs)</t>
    </r>
    <r>
      <rPr>
        <vertAlign val="superscript"/>
        <sz val="10"/>
        <rFont val="Arial"/>
        <family val="2"/>
      </rPr>
      <t>6</t>
    </r>
  </si>
  <si>
    <t>STEM + Computing Partnerships (STEM + C Partnerships)</t>
  </si>
  <si>
    <t>Total, Focused and Emphasis Programs</t>
  </si>
  <si>
    <t>Geographic Diversity Program</t>
  </si>
  <si>
    <t>EPSCoR</t>
  </si>
  <si>
    <t>Total, NSF</t>
  </si>
  <si>
    <t>Totals may not add due to rounding.</t>
  </si>
  <si>
    <r>
      <rPr>
        <vertAlign val="superscript"/>
        <sz val="9"/>
        <color theme="1"/>
        <rFont val="Arial"/>
        <family val="2"/>
      </rPr>
      <t>1</t>
    </r>
    <r>
      <rPr>
        <sz val="9"/>
        <color theme="1"/>
        <rFont val="Arial"/>
        <family val="2"/>
      </rPr>
      <t xml:space="preserve"> Support for GRDS is suspended beginning in FY 2015 pending an internal review.</t>
    </r>
  </si>
  <si>
    <r>
      <rPr>
        <vertAlign val="superscript"/>
        <sz val="9"/>
        <color theme="1"/>
        <rFont val="Arial"/>
        <family val="2"/>
      </rPr>
      <t>2</t>
    </r>
    <r>
      <rPr>
        <sz val="9"/>
        <color theme="1"/>
        <rFont val="Arial"/>
        <family val="2"/>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</si>
  <si>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9"/>
        <color theme="1"/>
        <rFont val="Arial"/>
        <family val="2"/>
      </rPr>
      <t>3</t>
    </r>
    <r>
      <rPr>
        <sz val="9"/>
        <color theme="1"/>
        <rFont val="Arial"/>
        <family val="2"/>
      </rPr>
      <t xml:space="preserve"> The COSEE program terminated in FY 2014.</t>
    </r>
  </si>
  <si>
    <r>
      <rPr>
        <vertAlign val="superscript"/>
        <sz val="9"/>
        <color theme="1"/>
        <rFont val="Arial"/>
        <family val="2"/>
      </rPr>
      <t xml:space="preserve">4 </t>
    </r>
    <r>
      <rPr>
        <sz val="9"/>
        <color theme="1"/>
        <rFont val="Arial"/>
        <family val="2"/>
      </rPr>
      <t>NSF Scholarships in Science, Technology, Engineering, and Mathematics (S-STEM) and Innovative Technology Experiences for Students and Teachers (ITEST) are H1B Visa funded programs.</t>
    </r>
  </si>
  <si>
    <r>
      <rPr>
        <vertAlign val="superscript"/>
        <sz val="9"/>
        <color theme="1"/>
        <rFont val="Arial"/>
        <family val="2"/>
      </rPr>
      <t>5</t>
    </r>
    <r>
      <rPr>
        <sz val="9"/>
        <color theme="1"/>
        <rFont val="Arial"/>
        <family val="2"/>
      </rPr>
      <t xml:space="preserve"> In FY 2015, OCE’s Research Initiation Grants program is being discontinued as its companion postdoctoral fellowship program is ending.</t>
    </r>
  </si>
  <si>
    <r>
      <rPr>
        <vertAlign val="superscript"/>
        <sz val="9"/>
        <rFont val="Arial"/>
        <family val="2"/>
      </rPr>
      <t>6</t>
    </r>
    <r>
      <rPr>
        <sz val="9"/>
        <rFont val="Arial"/>
        <family val="2"/>
      </rPr>
      <t xml:space="preserve"> The Science of Learning Centers (SLC) program terminates in FY 2015.  FY 2014 and FY 2015 support represents outyear funding commitments for sunsetting centers.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</si>
</sst>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3" x14ac:knownFonts="1">
    <font>
      <sz val="11"/>
      <color theme="1"/>
      <name val="Calibri"/>
      <family val="2"/>
      <scheme val="minor"/>
    </font>
    <font>
      <sz val="11"/>
      <color theme="1"/>
      <name val="Calibri"/>
      <family val="2"/>
      <scheme val="minor"/>
    </font>
    <font>
      <b/>
      <sz val="12"/>
      <color theme="1"/>
      <name val="Arial"/>
      <family val="2"/>
    </font>
    <font>
      <sz val="10"/>
      <name val="Arial"/>
      <family val="2"/>
    </font>
    <font>
      <b/>
      <sz val="10"/>
      <color theme="1"/>
      <name val="Arial"/>
      <family val="2"/>
    </font>
    <font>
      <sz val="10"/>
      <color theme="1"/>
      <name val="Arial"/>
      <family val="2"/>
    </font>
    <font>
      <vertAlign val="superscript"/>
      <sz val="10"/>
      <color theme="1"/>
      <name val="Arial"/>
      <family val="2"/>
    </font>
    <font>
      <vertAlign val="superscript"/>
      <sz val="10"/>
      <name val="Arial"/>
      <family val="2"/>
    </font>
    <font>
      <b/>
      <sz val="10"/>
      <name val="Arial"/>
      <family val="2"/>
    </font>
    <font>
      <sz val="9"/>
      <color theme="1"/>
      <name val="Arial"/>
      <family val="2"/>
    </font>
    <font>
      <vertAlign val="superscript"/>
      <sz val="9"/>
      <color theme="1"/>
      <name val="Arial"/>
      <family val="2"/>
    </font>
    <font>
      <sz val="9"/>
      <name val="Arial"/>
      <family val="2"/>
    </font>
    <font>
      <vertAlign val="superscript"/>
      <sz val="9"/>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33">
    <border>
      <left/>
      <right/>
      <top/>
      <bottom/>
      <diagonal/>
    </border>
    <border>
      <left style="medium">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auto="1"/>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right" wrapText="1"/>
    </xf>
    <xf numFmtId="0" fontId="5" fillId="0" borderId="11" xfId="0" applyFont="1" applyBorder="1" applyAlignment="1">
      <alignment horizontal="right" wrapText="1"/>
    </xf>
    <xf numFmtId="0" fontId="4" fillId="2" borderId="15" xfId="0" applyFont="1" applyFill="1" applyBorder="1" applyAlignment="1">
      <alignment vertical="top"/>
    </xf>
    <xf numFmtId="0" fontId="4" fillId="2" borderId="16" xfId="0" applyFont="1" applyFill="1" applyBorder="1" applyAlignment="1">
      <alignment horizontal="right" vertical="top"/>
    </xf>
    <xf numFmtId="164" fontId="4" fillId="2" borderId="16" xfId="0" applyNumberFormat="1" applyFont="1" applyFill="1" applyBorder="1" applyAlignment="1">
      <alignment horizontal="right" vertical="top"/>
    </xf>
    <xf numFmtId="164" fontId="4" fillId="2" borderId="17" xfId="0" applyNumberFormat="1" applyFont="1" applyFill="1" applyBorder="1" applyAlignment="1">
      <alignment horizontal="right" vertical="top"/>
    </xf>
    <xf numFmtId="164" fontId="4" fillId="2" borderId="18" xfId="0" applyNumberFormat="1" applyFont="1" applyFill="1" applyBorder="1" applyAlignment="1">
      <alignment horizontal="right" vertical="top"/>
    </xf>
    <xf numFmtId="165" fontId="4" fillId="2" borderId="19" xfId="1" applyNumberFormat="1" applyFont="1" applyFill="1" applyBorder="1" applyAlignment="1">
      <alignment horizontal="right" vertical="top"/>
    </xf>
    <xf numFmtId="0" fontId="5" fillId="0" borderId="6" xfId="0" applyFont="1" applyBorder="1" applyAlignment="1">
      <alignment horizontal="left" vertical="top" indent="1"/>
    </xf>
    <xf numFmtId="9" fontId="5" fillId="0" borderId="0" xfId="0" applyNumberFormat="1" applyFont="1" applyBorder="1" applyAlignment="1">
      <alignment horizontal="right" vertical="top"/>
    </xf>
    <xf numFmtId="166" fontId="5" fillId="0" borderId="0" xfId="0" applyNumberFormat="1" applyFont="1" applyFill="1" applyBorder="1" applyAlignment="1">
      <alignment horizontal="right" vertical="top"/>
    </xf>
    <xf numFmtId="166" fontId="5" fillId="0" borderId="20" xfId="0" applyNumberFormat="1" applyFont="1" applyFill="1" applyBorder="1" applyAlignment="1">
      <alignment horizontal="right" vertical="top"/>
    </xf>
    <xf numFmtId="166" fontId="5" fillId="0" borderId="8" xfId="0" applyNumberFormat="1" applyFont="1" applyBorder="1" applyAlignment="1">
      <alignment horizontal="right" vertical="top"/>
    </xf>
    <xf numFmtId="165" fontId="5" fillId="0" borderId="9" xfId="1" applyNumberFormat="1" applyFont="1" applyBorder="1" applyAlignment="1">
      <alignment horizontal="right" vertical="top"/>
    </xf>
    <xf numFmtId="0" fontId="3" fillId="0" borderId="0" xfId="0" applyFont="1" applyAlignment="1">
      <alignment vertical="top"/>
    </xf>
    <xf numFmtId="0" fontId="3" fillId="0" borderId="6" xfId="0" applyFont="1" applyFill="1" applyBorder="1" applyAlignment="1">
      <alignment horizontal="left" vertical="top" wrapText="1" indent="1"/>
    </xf>
    <xf numFmtId="9" fontId="5" fillId="0" borderId="0" xfId="0" applyNumberFormat="1" applyFont="1" applyFill="1" applyBorder="1" applyAlignment="1">
      <alignment horizontal="right" vertical="top"/>
    </xf>
    <xf numFmtId="166" fontId="5" fillId="0" borderId="8" xfId="0" applyNumberFormat="1" applyFont="1" applyFill="1" applyBorder="1" applyAlignment="1">
      <alignment horizontal="right" vertical="top"/>
    </xf>
    <xf numFmtId="165" fontId="5" fillId="0" borderId="9" xfId="1" applyNumberFormat="1" applyFont="1" applyFill="1" applyBorder="1" applyAlignment="1">
      <alignment horizontal="right" vertical="top"/>
    </xf>
    <xf numFmtId="0" fontId="5" fillId="0" borderId="6" xfId="0" applyFont="1" applyFill="1" applyBorder="1" applyAlignment="1">
      <alignment horizontal="left" vertical="top" wrapText="1" indent="1"/>
    </xf>
    <xf numFmtId="0" fontId="5" fillId="0" borderId="6" xfId="0" applyFont="1" applyFill="1" applyBorder="1" applyAlignment="1">
      <alignment horizontal="left" vertical="top" indent="1"/>
    </xf>
    <xf numFmtId="9" fontId="3" fillId="0" borderId="0" xfId="0" applyNumberFormat="1" applyFont="1" applyBorder="1" applyAlignment="1">
      <alignment horizontal="right" vertical="top"/>
    </xf>
    <xf numFmtId="166" fontId="3" fillId="0" borderId="0" xfId="0" applyNumberFormat="1" applyFont="1" applyFill="1" applyBorder="1" applyAlignment="1">
      <alignment horizontal="right" vertical="top"/>
    </xf>
    <xf numFmtId="166" fontId="3" fillId="0" borderId="20" xfId="0" applyNumberFormat="1" applyFont="1" applyFill="1" applyBorder="1" applyAlignment="1">
      <alignment horizontal="right" vertical="top"/>
    </xf>
    <xf numFmtId="166" fontId="3" fillId="0" borderId="8" xfId="0" applyNumberFormat="1" applyFont="1" applyBorder="1" applyAlignment="1">
      <alignment horizontal="right" vertical="top"/>
    </xf>
    <xf numFmtId="165" fontId="3" fillId="0" borderId="9" xfId="1" applyNumberFormat="1" applyFont="1" applyBorder="1" applyAlignment="1">
      <alignment horizontal="right" vertical="top"/>
    </xf>
    <xf numFmtId="9" fontId="3" fillId="0" borderId="0" xfId="0" applyNumberFormat="1" applyFont="1" applyFill="1" applyBorder="1" applyAlignment="1">
      <alignment horizontal="right" vertical="top"/>
    </xf>
    <xf numFmtId="166" fontId="3" fillId="0" borderId="8" xfId="0" applyNumberFormat="1" applyFont="1" applyFill="1" applyBorder="1" applyAlignment="1">
      <alignment horizontal="right" vertical="top"/>
    </xf>
    <xf numFmtId="165" fontId="3" fillId="0" borderId="9" xfId="1" applyNumberFormat="1" applyFont="1" applyFill="1" applyBorder="1" applyAlignment="1">
      <alignment horizontal="right" vertical="top"/>
    </xf>
    <xf numFmtId="0" fontId="3" fillId="0" borderId="6" xfId="0" applyFont="1" applyBorder="1" applyAlignment="1">
      <alignment horizontal="left" vertical="top" wrapText="1" indent="1"/>
    </xf>
    <xf numFmtId="0" fontId="4" fillId="2" borderId="1" xfId="0" applyFont="1" applyFill="1" applyBorder="1" applyAlignment="1">
      <alignment vertical="top" wrapText="1"/>
    </xf>
    <xf numFmtId="0" fontId="8" fillId="2" borderId="2" xfId="0" applyFont="1" applyFill="1" applyBorder="1" applyAlignment="1">
      <alignment horizontal="right" vertical="top" wrapText="1"/>
    </xf>
    <xf numFmtId="164" fontId="8" fillId="2" borderId="2" xfId="0" applyNumberFormat="1" applyFont="1" applyFill="1" applyBorder="1" applyAlignment="1">
      <alignment horizontal="right" vertical="top" wrapText="1"/>
    </xf>
    <xf numFmtId="164" fontId="8" fillId="2" borderId="21" xfId="0" applyNumberFormat="1" applyFont="1" applyFill="1" applyBorder="1" applyAlignment="1">
      <alignment horizontal="right" vertical="top" wrapText="1"/>
    </xf>
    <xf numFmtId="164" fontId="8" fillId="2" borderId="4" xfId="0" applyNumberFormat="1" applyFont="1" applyFill="1" applyBorder="1" applyAlignment="1">
      <alignment horizontal="right" vertical="top" wrapText="1"/>
    </xf>
    <xf numFmtId="165" fontId="8" fillId="2" borderId="5" xfId="1" applyNumberFormat="1" applyFont="1" applyFill="1" applyBorder="1" applyAlignment="1">
      <alignment horizontal="right" vertical="top" wrapText="1"/>
    </xf>
    <xf numFmtId="0" fontId="3" fillId="0" borderId="6" xfId="0" applyFont="1" applyFill="1" applyBorder="1" applyAlignment="1">
      <alignment horizontal="left" vertical="center" wrapText="1" indent="1"/>
    </xf>
    <xf numFmtId="9" fontId="3" fillId="0" borderId="0" xfId="0" applyNumberFormat="1" applyFont="1" applyBorder="1" applyAlignment="1">
      <alignment horizontal="right" vertical="center"/>
    </xf>
    <xf numFmtId="166" fontId="3" fillId="0" borderId="0" xfId="0" applyNumberFormat="1" applyFont="1" applyFill="1" applyBorder="1" applyAlignment="1">
      <alignment horizontal="right" vertical="center"/>
    </xf>
    <xf numFmtId="166" fontId="3" fillId="0" borderId="20" xfId="0" applyNumberFormat="1" applyFont="1" applyFill="1" applyBorder="1" applyAlignment="1">
      <alignment horizontal="right" vertical="center"/>
    </xf>
    <xf numFmtId="166" fontId="3" fillId="0" borderId="8" xfId="0" applyNumberFormat="1" applyFont="1" applyBorder="1" applyAlignment="1">
      <alignment horizontal="right" vertical="center"/>
    </xf>
    <xf numFmtId="165" fontId="3" fillId="0" borderId="9" xfId="1" applyNumberFormat="1" applyFont="1" applyBorder="1" applyAlignment="1">
      <alignment horizontal="right" vertical="center"/>
    </xf>
    <xf numFmtId="0" fontId="3" fillId="0" borderId="0" xfId="0" applyFont="1" applyAlignment="1">
      <alignment vertical="center"/>
    </xf>
    <xf numFmtId="0" fontId="5" fillId="0" borderId="6" xfId="0" applyFont="1" applyFill="1" applyBorder="1" applyAlignment="1">
      <alignment horizontal="left" vertical="center" indent="1"/>
    </xf>
    <xf numFmtId="9" fontId="3" fillId="0" borderId="0" xfId="0" applyNumberFormat="1" applyFont="1" applyFill="1" applyBorder="1" applyAlignment="1">
      <alignment horizontal="right" vertical="center"/>
    </xf>
    <xf numFmtId="166" fontId="3" fillId="0" borderId="8" xfId="0"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0" fontId="3" fillId="0" borderId="6" xfId="0" applyFont="1" applyFill="1" applyBorder="1" applyAlignment="1">
      <alignment horizontal="left" vertical="center" indent="1"/>
    </xf>
    <xf numFmtId="0" fontId="5" fillId="0" borderId="6" xfId="0" applyFont="1" applyBorder="1" applyAlignment="1">
      <alignment horizontal="left" vertical="top" wrapText="1" indent="1"/>
    </xf>
    <xf numFmtId="0" fontId="4" fillId="3" borderId="22" xfId="0" applyFont="1" applyFill="1" applyBorder="1" applyAlignment="1">
      <alignment vertical="center"/>
    </xf>
    <xf numFmtId="9" fontId="4" fillId="3" borderId="23" xfId="0" applyNumberFormat="1" applyFont="1" applyFill="1" applyBorder="1" applyAlignment="1">
      <alignment horizontal="right" vertical="center"/>
    </xf>
    <xf numFmtId="164" fontId="4" fillId="3" borderId="23" xfId="0" applyNumberFormat="1" applyFont="1" applyFill="1" applyBorder="1" applyAlignment="1">
      <alignment horizontal="right" vertical="center"/>
    </xf>
    <xf numFmtId="164" fontId="4" fillId="3" borderId="24" xfId="0" applyNumberFormat="1" applyFont="1" applyFill="1" applyBorder="1" applyAlignment="1">
      <alignment horizontal="right" vertical="center"/>
    </xf>
    <xf numFmtId="164" fontId="4" fillId="3" borderId="25" xfId="0" applyNumberFormat="1" applyFont="1" applyFill="1" applyBorder="1" applyAlignment="1">
      <alignment horizontal="right" vertical="center"/>
    </xf>
    <xf numFmtId="165" fontId="4" fillId="3" borderId="26" xfId="1" applyNumberFormat="1" applyFont="1" applyFill="1" applyBorder="1" applyAlignment="1">
      <alignment horizontal="right" vertical="center"/>
    </xf>
    <xf numFmtId="0" fontId="4" fillId="2" borderId="6" xfId="0" applyFont="1" applyFill="1" applyBorder="1" applyAlignment="1">
      <alignment vertical="center"/>
    </xf>
    <xf numFmtId="0" fontId="5" fillId="2" borderId="0" xfId="0" applyFont="1" applyFill="1" applyBorder="1" applyAlignment="1">
      <alignment horizontal="right" vertical="center"/>
    </xf>
    <xf numFmtId="164" fontId="4" fillId="2" borderId="0" xfId="0" applyNumberFormat="1" applyFont="1" applyFill="1" applyBorder="1" applyAlignment="1">
      <alignment horizontal="right" vertical="center"/>
    </xf>
    <xf numFmtId="164" fontId="4" fillId="2" borderId="20" xfId="0" applyNumberFormat="1" applyFont="1" applyFill="1" applyBorder="1" applyAlignment="1">
      <alignment horizontal="right" vertical="center"/>
    </xf>
    <xf numFmtId="164" fontId="4" fillId="2" borderId="8" xfId="0" applyNumberFormat="1" applyFont="1" applyFill="1" applyBorder="1" applyAlignment="1">
      <alignment horizontal="right" vertical="center"/>
    </xf>
    <xf numFmtId="165" fontId="4" fillId="2" borderId="9" xfId="1" applyNumberFormat="1" applyFont="1" applyFill="1" applyBorder="1" applyAlignment="1">
      <alignment horizontal="right" vertical="center"/>
    </xf>
    <xf numFmtId="0" fontId="5" fillId="0" borderId="12" xfId="0" applyFont="1" applyBorder="1" applyAlignment="1">
      <alignment horizontal="left" vertical="top" indent="1"/>
    </xf>
    <xf numFmtId="9" fontId="5" fillId="0" borderId="13" xfId="0" applyNumberFormat="1" applyFont="1" applyBorder="1" applyAlignment="1">
      <alignment horizontal="right" vertical="top"/>
    </xf>
    <xf numFmtId="166" fontId="5" fillId="0" borderId="13" xfId="0" applyNumberFormat="1" applyFont="1" applyFill="1" applyBorder="1" applyAlignment="1">
      <alignment horizontal="right" vertical="top"/>
    </xf>
    <xf numFmtId="166" fontId="5" fillId="0" borderId="27" xfId="0" applyNumberFormat="1" applyFont="1" applyFill="1" applyBorder="1" applyAlignment="1">
      <alignment horizontal="right" vertical="top"/>
    </xf>
    <xf numFmtId="166" fontId="5" fillId="0" borderId="10" xfId="0" applyNumberFormat="1" applyFont="1" applyBorder="1" applyAlignment="1">
      <alignment horizontal="right" vertical="top"/>
    </xf>
    <xf numFmtId="165" fontId="5" fillId="0" borderId="11" xfId="1" applyNumberFormat="1" applyFont="1" applyBorder="1" applyAlignment="1">
      <alignment horizontal="right" vertical="top"/>
    </xf>
    <xf numFmtId="0" fontId="4" fillId="3" borderId="28" xfId="0" applyFont="1" applyFill="1" applyBorder="1" applyAlignment="1">
      <alignment vertical="center"/>
    </xf>
    <xf numFmtId="0" fontId="4" fillId="3" borderId="29" xfId="0" applyFont="1" applyFill="1" applyBorder="1" applyAlignment="1">
      <alignment horizontal="right" vertical="center"/>
    </xf>
    <xf numFmtId="164" fontId="4" fillId="3" borderId="29" xfId="0" applyNumberFormat="1" applyFont="1" applyFill="1" applyBorder="1" applyAlignment="1">
      <alignment horizontal="right" vertical="center"/>
    </xf>
    <xf numFmtId="164" fontId="4" fillId="3" borderId="30" xfId="0" applyNumberFormat="1" applyFont="1" applyFill="1" applyBorder="1" applyAlignment="1">
      <alignment horizontal="right" vertical="center"/>
    </xf>
    <xf numFmtId="164" fontId="4" fillId="3" borderId="31" xfId="0" applyNumberFormat="1" applyFont="1" applyFill="1" applyBorder="1" applyAlignment="1">
      <alignment horizontal="right" vertical="center"/>
    </xf>
    <xf numFmtId="165" fontId="4" fillId="3" borderId="32" xfId="1" applyNumberFormat="1" applyFont="1" applyFill="1" applyBorder="1" applyAlignment="1">
      <alignment horizontal="right" vertical="center"/>
    </xf>
    <xf numFmtId="0" fontId="9" fillId="0" borderId="0" xfId="0" applyFont="1" applyFill="1" applyBorder="1" applyAlignment="1">
      <alignment vertical="top"/>
    </xf>
    <xf numFmtId="0" fontId="9" fillId="0" borderId="0" xfId="0" applyFont="1"/>
    <xf numFmtId="0" fontId="9" fillId="0" borderId="0" xfId="0" applyFont="1" applyAlignment="1">
      <alignment vertical="top"/>
    </xf>
    <xf numFmtId="0" fontId="9" fillId="0" borderId="0" xfId="0" applyFont="1" applyFill="1" applyAlignment="1">
      <alignment horizontal="left" vertical="top" wrapText="1"/>
    </xf>
    <xf numFmtId="0" fontId="9" fillId="0" borderId="0" xfId="0" applyFont="1" applyAlignment="1">
      <alignment horizontal="left" vertical="top" wrapText="1"/>
    </xf>
    <xf numFmtId="0" fontId="11" fillId="0" borderId="0" xfId="0" applyFont="1" applyFill="1" applyBorder="1" applyAlignment="1">
      <alignment horizontal="left" wrapText="1"/>
    </xf>
    <xf numFmtId="0" fontId="9" fillId="0" borderId="0" xfId="0" applyFont="1" applyFill="1" applyBorder="1" applyAlignment="1">
      <alignment vertical="top"/>
    </xf>
    <xf numFmtId="0" fontId="9" fillId="0" borderId="0" xfId="0" applyFont="1" applyAlignment="1">
      <alignment horizontal="left" vertical="top" wrapText="1"/>
    </xf>
    <xf numFmtId="0" fontId="9" fillId="0" borderId="0" xfId="0" applyFont="1" applyFill="1" applyAlignment="1">
      <alignment horizontal="left" vertical="top" wrapText="1"/>
    </xf>
    <xf numFmtId="0" fontId="11" fillId="0" borderId="0" xfId="0" applyFont="1" applyAlignment="1">
      <alignment vertical="top" wrapText="1"/>
    </xf>
    <xf numFmtId="0" fontId="2" fillId="0" borderId="0" xfId="0" applyFont="1" applyAlignment="1">
      <alignment horizontal="center"/>
    </xf>
    <xf numFmtId="0" fontId="5" fillId="0" borderId="0" xfId="0" applyFont="1" applyBorder="1" applyAlignment="1">
      <alignment horizontal="center"/>
    </xf>
    <xf numFmtId="0" fontId="5" fillId="0" borderId="2" xfId="0" applyFont="1" applyBorder="1" applyAlignment="1">
      <alignment horizontal="right" wrapText="1"/>
    </xf>
    <xf numFmtId="0" fontId="5" fillId="0" borderId="0" xfId="0" applyFont="1" applyBorder="1" applyAlignment="1">
      <alignment horizontal="right" wrapText="1"/>
    </xf>
    <xf numFmtId="0" fontId="5" fillId="0" borderId="13" xfId="0" applyFont="1" applyBorder="1" applyAlignment="1">
      <alignment horizontal="right" wrapText="1"/>
    </xf>
    <xf numFmtId="0" fontId="5" fillId="0" borderId="3" xfId="0" applyFont="1" applyBorder="1" applyAlignment="1">
      <alignment horizontal="right" wrapText="1"/>
    </xf>
    <xf numFmtId="0" fontId="5" fillId="0" borderId="7" xfId="0" applyFont="1" applyBorder="1" applyAlignment="1">
      <alignment horizontal="right" wrapText="1"/>
    </xf>
    <xf numFmtId="0" fontId="5" fillId="0" borderId="14" xfId="0" applyFont="1" applyBorder="1" applyAlignment="1">
      <alignment horizontal="right"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left"/>
    </xf>
    <xf numFmtId="0" fontId="5" fillId="0" borderId="12"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tabSelected="1" topLeftCell="A22" zoomScale="80" zoomScaleNormal="80" workbookViewId="0">
      <selection activeCell="A48" sqref="A48:G48"/>
    </sheetView>
  </sheetViews>
  <sheetFormatPr defaultColWidth="8.85546875" defaultRowHeight="12.75" x14ac:dyDescent="0.2"/>
  <cols>
    <col min="1" max="1" width="51.7109375" style="1" customWidth="1"/>
    <col min="2" max="2" width="10.28515625" style="1" customWidth="1"/>
    <col min="3" max="5" width="9.7109375" style="1" customWidth="1"/>
    <col min="6" max="7" width="8.7109375" style="1" customWidth="1"/>
    <col min="8" max="16384" width="8.85546875" style="1"/>
  </cols>
  <sheetData>
    <row r="1" spans="1:7" ht="15.75" x14ac:dyDescent="0.25">
      <c r="A1" s="89" t="s">
        <v>0</v>
      </c>
      <c r="B1" s="89"/>
      <c r="C1" s="89"/>
      <c r="D1" s="89"/>
      <c r="E1" s="89"/>
      <c r="F1" s="89"/>
      <c r="G1" s="89"/>
    </row>
    <row r="2" spans="1:7" ht="15.75" x14ac:dyDescent="0.25">
      <c r="A2" s="89" t="s">
        <v>1</v>
      </c>
      <c r="B2" s="89"/>
      <c r="C2" s="89"/>
      <c r="D2" s="89"/>
      <c r="E2" s="89"/>
      <c r="F2" s="89"/>
      <c r="G2" s="89"/>
    </row>
    <row r="3" spans="1:7" ht="15.75" x14ac:dyDescent="0.25">
      <c r="A3" s="89" t="s">
        <v>2</v>
      </c>
      <c r="B3" s="89"/>
      <c r="C3" s="89"/>
      <c r="D3" s="89"/>
      <c r="E3" s="89"/>
      <c r="F3" s="89"/>
      <c r="G3" s="89"/>
    </row>
    <row r="4" spans="1:7" ht="6" customHeight="1" x14ac:dyDescent="0.25">
      <c r="A4" s="2"/>
      <c r="B4" s="3"/>
      <c r="C4" s="3"/>
      <c r="D4" s="3"/>
      <c r="E4" s="3"/>
      <c r="F4" s="3"/>
      <c r="G4" s="3"/>
    </row>
    <row r="5" spans="1:7" ht="13.5" thickBot="1" x14ac:dyDescent="0.25">
      <c r="A5" s="90" t="s">
        <v>3</v>
      </c>
      <c r="B5" s="90"/>
      <c r="C5" s="90"/>
      <c r="D5" s="90"/>
      <c r="E5" s="90"/>
      <c r="F5" s="90"/>
      <c r="G5" s="90"/>
    </row>
    <row r="6" spans="1:7" x14ac:dyDescent="0.2">
      <c r="A6" s="4"/>
      <c r="B6" s="5"/>
      <c r="C6" s="91" t="s">
        <v>4</v>
      </c>
      <c r="D6" s="94" t="s">
        <v>5</v>
      </c>
      <c r="E6" s="94" t="s">
        <v>6</v>
      </c>
      <c r="F6" s="97" t="s">
        <v>7</v>
      </c>
      <c r="G6" s="98"/>
    </row>
    <row r="7" spans="1:7" ht="13.15" customHeight="1" x14ac:dyDescent="0.2">
      <c r="A7" s="103" t="s">
        <v>8</v>
      </c>
      <c r="B7" s="92" t="s">
        <v>9</v>
      </c>
      <c r="C7" s="92"/>
      <c r="D7" s="95"/>
      <c r="E7" s="95"/>
      <c r="F7" s="99"/>
      <c r="G7" s="100"/>
    </row>
    <row r="8" spans="1:7" ht="13.9" customHeight="1" x14ac:dyDescent="0.2">
      <c r="A8" s="103"/>
      <c r="B8" s="92"/>
      <c r="C8" s="92"/>
      <c r="D8" s="95"/>
      <c r="E8" s="95"/>
      <c r="F8" s="101"/>
      <c r="G8" s="102"/>
    </row>
    <row r="9" spans="1:7" x14ac:dyDescent="0.2">
      <c r="A9" s="104"/>
      <c r="B9" s="93"/>
      <c r="C9" s="93"/>
      <c r="D9" s="96"/>
      <c r="E9" s="96"/>
      <c r="F9" s="6" t="s">
        <v>10</v>
      </c>
      <c r="G9" s="7" t="s">
        <v>11</v>
      </c>
    </row>
    <row r="10" spans="1:7" ht="15" customHeight="1" x14ac:dyDescent="0.2">
      <c r="A10" s="8" t="s">
        <v>12</v>
      </c>
      <c r="B10" s="9"/>
      <c r="C10" s="10">
        <f>SUM(C11:C29)</f>
        <v>165.784989</v>
      </c>
      <c r="D10" s="10">
        <f>SUM(D11:D29)</f>
        <v>169.12</v>
      </c>
      <c r="E10" s="11">
        <f>SUM(E11:E29)</f>
        <v>183.84</v>
      </c>
      <c r="F10" s="12">
        <f t="shared" ref="F10:F45" si="0">E10-D10</f>
        <v>14.719999999999999</v>
      </c>
      <c r="G10" s="13">
        <f t="shared" ref="G10:G45" si="1">IF(D10=0,"N/A",F10/D10)</f>
        <v>8.7038789025543989E-2</v>
      </c>
    </row>
    <row r="11" spans="1:7" s="20" customFormat="1" x14ac:dyDescent="0.25">
      <c r="A11" s="14" t="s">
        <v>13</v>
      </c>
      <c r="B11" s="15">
        <v>1</v>
      </c>
      <c r="C11" s="16">
        <v>16.519023000000001</v>
      </c>
      <c r="D11" s="16">
        <v>14.9</v>
      </c>
      <c r="E11" s="17">
        <v>14.9</v>
      </c>
      <c r="F11" s="18">
        <f t="shared" si="0"/>
        <v>0</v>
      </c>
      <c r="G11" s="19">
        <f t="shared" si="1"/>
        <v>0</v>
      </c>
    </row>
    <row r="12" spans="1:7" s="20" customFormat="1" ht="25.5" x14ac:dyDescent="0.25">
      <c r="A12" s="21" t="s">
        <v>14</v>
      </c>
      <c r="B12" s="22">
        <v>1</v>
      </c>
      <c r="C12" s="16">
        <v>8.1765399999999993</v>
      </c>
      <c r="D12" s="16">
        <v>8</v>
      </c>
      <c r="E12" s="17">
        <v>7.84</v>
      </c>
      <c r="F12" s="23">
        <f t="shared" si="0"/>
        <v>-0.16000000000000014</v>
      </c>
      <c r="G12" s="24">
        <f t="shared" si="1"/>
        <v>-2.0000000000000018E-2</v>
      </c>
    </row>
    <row r="13" spans="1:7" s="20" customFormat="1" ht="15" customHeight="1" x14ac:dyDescent="0.25">
      <c r="A13" s="21" t="s">
        <v>15</v>
      </c>
      <c r="B13" s="15">
        <v>1</v>
      </c>
      <c r="C13" s="16">
        <v>1.774</v>
      </c>
      <c r="D13" s="16">
        <v>0.15</v>
      </c>
      <c r="E13" s="17">
        <v>0.6</v>
      </c>
      <c r="F13" s="18">
        <f t="shared" si="0"/>
        <v>0.44999999999999996</v>
      </c>
      <c r="G13" s="19">
        <f t="shared" si="1"/>
        <v>3</v>
      </c>
    </row>
    <row r="14" spans="1:7" s="20" customFormat="1" ht="15" customHeight="1" x14ac:dyDescent="0.25">
      <c r="A14" s="25" t="s">
        <v>16</v>
      </c>
      <c r="B14" s="22">
        <v>1</v>
      </c>
      <c r="C14" s="16">
        <v>2.5</v>
      </c>
      <c r="D14" s="16">
        <v>2.5</v>
      </c>
      <c r="E14" s="17">
        <v>2.5</v>
      </c>
      <c r="F14" s="23">
        <f t="shared" si="0"/>
        <v>0</v>
      </c>
      <c r="G14" s="24">
        <f t="shared" si="1"/>
        <v>0</v>
      </c>
    </row>
    <row r="15" spans="1:7" s="20" customFormat="1" ht="15" customHeight="1" x14ac:dyDescent="0.25">
      <c r="A15" s="26" t="s">
        <v>17</v>
      </c>
      <c r="B15" s="22">
        <v>1</v>
      </c>
      <c r="C15" s="16">
        <v>4.99</v>
      </c>
      <c r="D15" s="16">
        <v>6</v>
      </c>
      <c r="E15" s="17">
        <v>7</v>
      </c>
      <c r="F15" s="23">
        <f t="shared" si="0"/>
        <v>1</v>
      </c>
      <c r="G15" s="24">
        <f t="shared" si="1"/>
        <v>0.16666666666666666</v>
      </c>
    </row>
    <row r="16" spans="1:7" s="20" customFormat="1" x14ac:dyDescent="0.25">
      <c r="A16" s="21" t="s">
        <v>18</v>
      </c>
      <c r="B16" s="15">
        <v>1</v>
      </c>
      <c r="C16" s="16">
        <v>2.1036169999999998</v>
      </c>
      <c r="D16" s="16">
        <v>1</v>
      </c>
      <c r="E16" s="17">
        <v>1</v>
      </c>
      <c r="F16" s="18">
        <f t="shared" si="0"/>
        <v>0</v>
      </c>
      <c r="G16" s="19">
        <f t="shared" si="1"/>
        <v>0</v>
      </c>
    </row>
    <row r="17" spans="1:7" s="20" customFormat="1" ht="26.45" customHeight="1" x14ac:dyDescent="0.25">
      <c r="A17" s="25" t="s">
        <v>19</v>
      </c>
      <c r="B17" s="22">
        <v>1</v>
      </c>
      <c r="C17" s="16">
        <v>22.923065000000001</v>
      </c>
      <c r="D17" s="16">
        <v>24</v>
      </c>
      <c r="E17" s="17">
        <v>22.98</v>
      </c>
      <c r="F17" s="23">
        <f t="shared" si="0"/>
        <v>-1.0199999999999996</v>
      </c>
      <c r="G17" s="24">
        <f t="shared" si="1"/>
        <v>-4.2499999999999982E-2</v>
      </c>
    </row>
    <row r="18" spans="1:7" s="20" customFormat="1" ht="28.9" customHeight="1" x14ac:dyDescent="0.25">
      <c r="A18" s="25" t="s">
        <v>20</v>
      </c>
      <c r="B18" s="22">
        <v>1</v>
      </c>
      <c r="C18" s="16">
        <v>3.5095000000000001E-2</v>
      </c>
      <c r="D18" s="16">
        <v>0</v>
      </c>
      <c r="E18" s="17">
        <v>0</v>
      </c>
      <c r="F18" s="18">
        <f t="shared" si="0"/>
        <v>0</v>
      </c>
      <c r="G18" s="19" t="str">
        <f t="shared" si="1"/>
        <v>N/A</v>
      </c>
    </row>
    <row r="19" spans="1:7" s="20" customFormat="1" ht="15.6" customHeight="1" x14ac:dyDescent="0.25">
      <c r="A19" s="21" t="s">
        <v>21</v>
      </c>
      <c r="B19" s="15">
        <v>1</v>
      </c>
      <c r="C19" s="16">
        <v>3.0464500000000001</v>
      </c>
      <c r="D19" s="16">
        <v>5.82</v>
      </c>
      <c r="E19" s="17">
        <v>5.82</v>
      </c>
      <c r="F19" s="18">
        <f t="shared" si="0"/>
        <v>0</v>
      </c>
      <c r="G19" s="19">
        <f t="shared" si="1"/>
        <v>0</v>
      </c>
    </row>
    <row r="20" spans="1:7" s="20" customFormat="1" x14ac:dyDescent="0.25">
      <c r="A20" s="21" t="s">
        <v>22</v>
      </c>
      <c r="B20" s="15">
        <v>1</v>
      </c>
      <c r="C20" s="16">
        <v>5.1017999999999999</v>
      </c>
      <c r="D20" s="16">
        <v>3.82</v>
      </c>
      <c r="E20" s="17">
        <v>2.71</v>
      </c>
      <c r="F20" s="18">
        <f t="shared" si="0"/>
        <v>-1.1099999999999999</v>
      </c>
      <c r="G20" s="19">
        <f t="shared" si="1"/>
        <v>-0.29057591623036649</v>
      </c>
    </row>
    <row r="21" spans="1:7" s="20" customFormat="1" ht="26.45" customHeight="1" x14ac:dyDescent="0.25">
      <c r="A21" s="21" t="s">
        <v>23</v>
      </c>
      <c r="B21" s="15">
        <v>1</v>
      </c>
      <c r="C21" s="16">
        <v>31.756095999999999</v>
      </c>
      <c r="D21" s="16">
        <v>32</v>
      </c>
      <c r="E21" s="17">
        <v>31.94</v>
      </c>
      <c r="F21" s="18">
        <f t="shared" si="0"/>
        <v>-5.9999999999998721E-2</v>
      </c>
      <c r="G21" s="19">
        <f t="shared" si="1"/>
        <v>-1.87499999999996E-3</v>
      </c>
    </row>
    <row r="22" spans="1:7" s="20" customFormat="1" ht="40.15" customHeight="1" x14ac:dyDescent="0.25">
      <c r="A22" s="21" t="s">
        <v>24</v>
      </c>
      <c r="B22" s="15">
        <v>1</v>
      </c>
      <c r="C22" s="16">
        <v>0</v>
      </c>
      <c r="D22" s="16">
        <v>0</v>
      </c>
      <c r="E22" s="17">
        <v>15</v>
      </c>
      <c r="F22" s="18">
        <f t="shared" si="0"/>
        <v>15</v>
      </c>
      <c r="G22" s="19" t="str">
        <f t="shared" si="1"/>
        <v>N/A</v>
      </c>
    </row>
    <row r="23" spans="1:7" s="20" customFormat="1" ht="14.45" customHeight="1" x14ac:dyDescent="0.35">
      <c r="A23" s="21" t="s">
        <v>25</v>
      </c>
      <c r="B23" s="27">
        <v>1</v>
      </c>
      <c r="C23" s="28">
        <v>45.508561999999998</v>
      </c>
      <c r="D23" s="28">
        <v>46</v>
      </c>
      <c r="E23" s="29">
        <v>45.62</v>
      </c>
      <c r="F23" s="30">
        <f t="shared" si="0"/>
        <v>-0.38000000000000256</v>
      </c>
      <c r="G23" s="31">
        <f t="shared" si="1"/>
        <v>-8.2608695652174463E-3</v>
      </c>
    </row>
    <row r="24" spans="1:7" s="20" customFormat="1" ht="14.45" customHeight="1" x14ac:dyDescent="0.35">
      <c r="A24" s="21" t="s">
        <v>26</v>
      </c>
      <c r="B24" s="27">
        <v>1</v>
      </c>
      <c r="C24" s="28">
        <v>3.54</v>
      </c>
      <c r="D24" s="28">
        <v>6.43</v>
      </c>
      <c r="E24" s="29">
        <v>6.43</v>
      </c>
      <c r="F24" s="30">
        <f t="shared" si="0"/>
        <v>0</v>
      </c>
      <c r="G24" s="31">
        <f t="shared" si="1"/>
        <v>0</v>
      </c>
    </row>
    <row r="25" spans="1:7" s="20" customFormat="1" ht="24.95" x14ac:dyDescent="0.35">
      <c r="A25" s="21" t="s">
        <v>27</v>
      </c>
      <c r="B25" s="32">
        <v>1</v>
      </c>
      <c r="C25" s="28">
        <v>1.2365280000000001</v>
      </c>
      <c r="D25" s="28">
        <v>1</v>
      </c>
      <c r="E25" s="29">
        <v>2</v>
      </c>
      <c r="F25" s="33">
        <f t="shared" si="0"/>
        <v>1</v>
      </c>
      <c r="G25" s="34">
        <f t="shared" si="1"/>
        <v>1</v>
      </c>
    </row>
    <row r="26" spans="1:7" s="20" customFormat="1" ht="13.9" customHeight="1" x14ac:dyDescent="0.35">
      <c r="A26" s="21" t="s">
        <v>28</v>
      </c>
      <c r="B26" s="32">
        <v>1</v>
      </c>
      <c r="C26" s="28">
        <v>1</v>
      </c>
      <c r="D26" s="28">
        <v>1</v>
      </c>
      <c r="E26" s="29">
        <v>1</v>
      </c>
      <c r="F26" s="33">
        <f t="shared" si="0"/>
        <v>0</v>
      </c>
      <c r="G26" s="34">
        <f t="shared" si="1"/>
        <v>0</v>
      </c>
    </row>
    <row r="27" spans="1:7" s="20" customFormat="1" ht="26.45" customHeight="1" x14ac:dyDescent="0.35">
      <c r="A27" s="25" t="s">
        <v>29</v>
      </c>
      <c r="B27" s="32">
        <v>1</v>
      </c>
      <c r="C27" s="28">
        <v>1.1021559999999999</v>
      </c>
      <c r="D27" s="28">
        <v>1.5</v>
      </c>
      <c r="E27" s="29">
        <v>1.5</v>
      </c>
      <c r="F27" s="33">
        <f t="shared" si="0"/>
        <v>0</v>
      </c>
      <c r="G27" s="34">
        <f t="shared" si="1"/>
        <v>0</v>
      </c>
    </row>
    <row r="28" spans="1:7" s="20" customFormat="1" ht="14.45" customHeight="1" x14ac:dyDescent="0.35">
      <c r="A28" s="25" t="s">
        <v>30</v>
      </c>
      <c r="B28" s="32">
        <v>1</v>
      </c>
      <c r="C28" s="28">
        <v>13.472057</v>
      </c>
      <c r="D28" s="28">
        <v>13.5</v>
      </c>
      <c r="E28" s="29">
        <v>13.5</v>
      </c>
      <c r="F28" s="33">
        <f t="shared" si="0"/>
        <v>0</v>
      </c>
      <c r="G28" s="34">
        <f t="shared" si="1"/>
        <v>0</v>
      </c>
    </row>
    <row r="29" spans="1:7" s="20" customFormat="1" ht="14.45" customHeight="1" thickBot="1" x14ac:dyDescent="0.4">
      <c r="A29" s="35" t="s">
        <v>31</v>
      </c>
      <c r="B29" s="27">
        <v>1</v>
      </c>
      <c r="C29" s="28">
        <v>1</v>
      </c>
      <c r="D29" s="28">
        <v>1.5</v>
      </c>
      <c r="E29" s="29">
        <v>1.5</v>
      </c>
      <c r="F29" s="30">
        <f t="shared" si="0"/>
        <v>0</v>
      </c>
      <c r="G29" s="31">
        <f t="shared" si="1"/>
        <v>0</v>
      </c>
    </row>
    <row r="30" spans="1:7" ht="14.45" customHeight="1" x14ac:dyDescent="0.25">
      <c r="A30" s="36" t="s">
        <v>32</v>
      </c>
      <c r="B30" s="37"/>
      <c r="C30" s="38">
        <f>SUM(C31:C41)</f>
        <v>452.21208968820014</v>
      </c>
      <c r="D30" s="38">
        <f t="shared" ref="D30:E30" si="2">SUM(D31:D41)</f>
        <v>432.60726499999998</v>
      </c>
      <c r="E30" s="39">
        <f t="shared" si="2"/>
        <v>433.387137</v>
      </c>
      <c r="F30" s="40">
        <f t="shared" si="0"/>
        <v>0.77987200000001167</v>
      </c>
      <c r="G30" s="41">
        <f t="shared" si="1"/>
        <v>1.8027251576554354E-3</v>
      </c>
    </row>
    <row r="31" spans="1:7" s="48" customFormat="1" ht="14.45" customHeight="1" x14ac:dyDescent="0.35">
      <c r="A31" s="42" t="s">
        <v>33</v>
      </c>
      <c r="B31" s="43">
        <v>0.55059999999999998</v>
      </c>
      <c r="C31" s="44">
        <f>54.838752*B31</f>
        <v>30.1942168512</v>
      </c>
      <c r="D31" s="44">
        <f>55*B31</f>
        <v>30.282999999999998</v>
      </c>
      <c r="E31" s="45">
        <f>60*B31</f>
        <v>33.036000000000001</v>
      </c>
      <c r="F31" s="46">
        <f t="shared" si="0"/>
        <v>2.7530000000000037</v>
      </c>
      <c r="G31" s="47">
        <f t="shared" si="1"/>
        <v>9.0909090909091037E-2</v>
      </c>
    </row>
    <row r="32" spans="1:7" s="48" customFormat="1" ht="14.45" customHeight="1" x14ac:dyDescent="0.35">
      <c r="A32" s="49" t="s">
        <v>34</v>
      </c>
      <c r="B32" s="50">
        <v>1</v>
      </c>
      <c r="C32" s="44">
        <f>0.759518*B32</f>
        <v>0.75951800000000003</v>
      </c>
      <c r="D32" s="44">
        <f>0*B32</f>
        <v>0</v>
      </c>
      <c r="E32" s="45">
        <f>0*B32</f>
        <v>0</v>
      </c>
      <c r="F32" s="46">
        <f t="shared" si="0"/>
        <v>0</v>
      </c>
      <c r="G32" s="47" t="str">
        <f t="shared" si="1"/>
        <v>N/A</v>
      </c>
    </row>
    <row r="33" spans="1:7" s="48" customFormat="1" ht="14.45" customHeight="1" x14ac:dyDescent="0.35">
      <c r="A33" s="42" t="s">
        <v>35</v>
      </c>
      <c r="B33" s="50">
        <v>0.63519999999999999</v>
      </c>
      <c r="C33" s="44">
        <f>92.380153*B33</f>
        <v>58.679873185600002</v>
      </c>
      <c r="D33" s="44">
        <f>83.81*B33</f>
        <v>53.236111999999999</v>
      </c>
      <c r="E33" s="45">
        <f>91.93*B33</f>
        <v>58.393936000000004</v>
      </c>
      <c r="F33" s="51">
        <f t="shared" si="0"/>
        <v>5.1578240000000051</v>
      </c>
      <c r="G33" s="52">
        <f t="shared" si="1"/>
        <v>9.6885813148789024E-2</v>
      </c>
    </row>
    <row r="34" spans="1:7" s="48" customFormat="1" ht="14.45" customHeight="1" x14ac:dyDescent="0.35">
      <c r="A34" s="53" t="s">
        <v>36</v>
      </c>
      <c r="B34" s="50">
        <v>0.6</v>
      </c>
      <c r="C34" s="44">
        <f>299.618533*B34</f>
        <v>179.77111980000001</v>
      </c>
      <c r="D34" s="44">
        <f>333.44*B34</f>
        <v>200.06399999999999</v>
      </c>
      <c r="E34" s="45">
        <f>337.5*B34</f>
        <v>202.5</v>
      </c>
      <c r="F34" s="51">
        <f t="shared" si="0"/>
        <v>2.436000000000007</v>
      </c>
      <c r="G34" s="52">
        <f t="shared" si="1"/>
        <v>1.217610364683305E-2</v>
      </c>
    </row>
    <row r="35" spans="1:7" ht="27" x14ac:dyDescent="0.25">
      <c r="A35" s="25" t="s">
        <v>37</v>
      </c>
      <c r="B35" s="32">
        <v>0.7198</v>
      </c>
      <c r="C35" s="28">
        <f>37.22764*B35</f>
        <v>26.796455271999999</v>
      </c>
      <c r="D35" s="28">
        <f>25*B35</f>
        <v>17.995000000000001</v>
      </c>
      <c r="E35" s="29">
        <f>25*B35</f>
        <v>17.995000000000001</v>
      </c>
      <c r="F35" s="33">
        <f t="shared" si="0"/>
        <v>0</v>
      </c>
      <c r="G35" s="34">
        <f t="shared" si="1"/>
        <v>0</v>
      </c>
    </row>
    <row r="36" spans="1:7" ht="14.45" customHeight="1" x14ac:dyDescent="0.25">
      <c r="A36" s="26" t="s">
        <v>38</v>
      </c>
      <c r="B36" s="32">
        <v>0.54820000000000002</v>
      </c>
      <c r="C36" s="28">
        <f>6.291544*B36</f>
        <v>3.4490244208000003</v>
      </c>
      <c r="D36" s="28">
        <f>2.25*B36</f>
        <v>1.2334499999999999</v>
      </c>
      <c r="E36" s="29">
        <f>2.25*B36</f>
        <v>1.2334499999999999</v>
      </c>
      <c r="F36" s="33">
        <f t="shared" si="0"/>
        <v>0</v>
      </c>
      <c r="G36" s="34">
        <f t="shared" si="1"/>
        <v>0</v>
      </c>
    </row>
    <row r="37" spans="1:7" ht="14.45" customHeight="1" x14ac:dyDescent="0.25">
      <c r="A37" s="26" t="s">
        <v>39</v>
      </c>
      <c r="B37" s="32">
        <v>0.56989999999999996</v>
      </c>
      <c r="C37" s="28">
        <f>62.58858*B37</f>
        <v>35.669231742000001</v>
      </c>
      <c r="D37" s="28">
        <f>60.89*B37</f>
        <v>34.701211000000001</v>
      </c>
      <c r="E37" s="29">
        <f>60.89*B37</f>
        <v>34.701211000000001</v>
      </c>
      <c r="F37" s="33">
        <f t="shared" si="0"/>
        <v>0</v>
      </c>
      <c r="G37" s="34">
        <f t="shared" si="1"/>
        <v>0</v>
      </c>
    </row>
    <row r="38" spans="1:7" ht="15.6" customHeight="1" x14ac:dyDescent="0.25">
      <c r="A38" s="54" t="s">
        <v>40</v>
      </c>
      <c r="B38" s="27">
        <v>0.59699999999999998</v>
      </c>
      <c r="C38" s="28">
        <f>92.183348*B38</f>
        <v>55.033458755999995</v>
      </c>
      <c r="D38" s="28">
        <f>75*B38</f>
        <v>44.774999999999999</v>
      </c>
      <c r="E38" s="29">
        <f>75*B38</f>
        <v>44.774999999999999</v>
      </c>
      <c r="F38" s="30">
        <f t="shared" si="0"/>
        <v>0</v>
      </c>
      <c r="G38" s="31">
        <f t="shared" si="1"/>
        <v>0</v>
      </c>
    </row>
    <row r="39" spans="1:7" ht="14.45" customHeight="1" x14ac:dyDescent="0.25">
      <c r="A39" s="21" t="s">
        <v>41</v>
      </c>
      <c r="B39" s="27">
        <v>0.89019999999999999</v>
      </c>
      <c r="C39" s="28">
        <f>0.4*B39</f>
        <v>0.35608000000000001</v>
      </c>
      <c r="D39" s="28">
        <f>0*B39</f>
        <v>0</v>
      </c>
      <c r="E39" s="29">
        <f>0*B39</f>
        <v>0</v>
      </c>
      <c r="F39" s="30">
        <f t="shared" si="0"/>
        <v>0</v>
      </c>
      <c r="G39" s="31" t="str">
        <f t="shared" si="1"/>
        <v>N/A</v>
      </c>
    </row>
    <row r="40" spans="1:7" ht="16.149999999999999" customHeight="1" x14ac:dyDescent="0.25">
      <c r="A40" s="42" t="s">
        <v>42</v>
      </c>
      <c r="B40" s="50">
        <v>0.8952</v>
      </c>
      <c r="C40" s="44">
        <f>19.335663*B40</f>
        <v>17.309285517599999</v>
      </c>
      <c r="D40" s="44">
        <f>7.01*B40</f>
        <v>6.2753519999999998</v>
      </c>
      <c r="E40" s="45">
        <f>0*B40</f>
        <v>0</v>
      </c>
      <c r="F40" s="51">
        <f t="shared" si="0"/>
        <v>-6.2753519999999998</v>
      </c>
      <c r="G40" s="52">
        <f t="shared" si="1"/>
        <v>-1</v>
      </c>
    </row>
    <row r="41" spans="1:7" ht="14.45" customHeight="1" x14ac:dyDescent="0.25">
      <c r="A41" s="21" t="s">
        <v>43</v>
      </c>
      <c r="B41" s="32">
        <v>0.63300000000000001</v>
      </c>
      <c r="C41" s="28">
        <f>69.816471*B41</f>
        <v>44.193826143000003</v>
      </c>
      <c r="D41" s="28">
        <f>69.58*B41</f>
        <v>44.044139999999999</v>
      </c>
      <c r="E41" s="29">
        <f>64.38*B41</f>
        <v>40.752539999999996</v>
      </c>
      <c r="F41" s="30">
        <f t="shared" si="0"/>
        <v>-3.2916000000000025</v>
      </c>
      <c r="G41" s="31">
        <f t="shared" si="1"/>
        <v>-7.473411899971262E-2</v>
      </c>
    </row>
    <row r="42" spans="1:7" s="48" customFormat="1" ht="19.5" customHeight="1" thickBot="1" x14ac:dyDescent="0.4">
      <c r="A42" s="55" t="s">
        <v>44</v>
      </c>
      <c r="B42" s="56"/>
      <c r="C42" s="57">
        <f>C30+C10</f>
        <v>617.99707868820019</v>
      </c>
      <c r="D42" s="57">
        <f>D30+D10</f>
        <v>601.72726499999999</v>
      </c>
      <c r="E42" s="58">
        <f>E30+E10</f>
        <v>617.22713699999997</v>
      </c>
      <c r="F42" s="59">
        <f t="shared" si="0"/>
        <v>15.499871999999982</v>
      </c>
      <c r="G42" s="60">
        <f t="shared" si="1"/>
        <v>2.5758965733420743E-2</v>
      </c>
    </row>
    <row r="43" spans="1:7" s="48" customFormat="1" ht="17.25" customHeight="1" x14ac:dyDescent="0.35">
      <c r="A43" s="61" t="s">
        <v>45</v>
      </c>
      <c r="B43" s="62"/>
      <c r="C43" s="63">
        <f>SUM(C44)</f>
        <v>158.191023</v>
      </c>
      <c r="D43" s="63">
        <f t="shared" ref="D43:E43" si="3">SUM(D44)</f>
        <v>159.69</v>
      </c>
      <c r="E43" s="64">
        <f t="shared" si="3"/>
        <v>169.99</v>
      </c>
      <c r="F43" s="65">
        <f t="shared" si="0"/>
        <v>10.300000000000011</v>
      </c>
      <c r="G43" s="66">
        <f t="shared" si="1"/>
        <v>6.4499968689335663E-2</v>
      </c>
    </row>
    <row r="44" spans="1:7" ht="14.45" customHeight="1" x14ac:dyDescent="0.25">
      <c r="A44" s="67" t="s">
        <v>46</v>
      </c>
      <c r="B44" s="68">
        <v>1</v>
      </c>
      <c r="C44" s="69">
        <v>158.191023</v>
      </c>
      <c r="D44" s="69">
        <v>159.69</v>
      </c>
      <c r="E44" s="70">
        <v>169.99</v>
      </c>
      <c r="F44" s="71">
        <f t="shared" si="0"/>
        <v>10.300000000000011</v>
      </c>
      <c r="G44" s="72">
        <f t="shared" si="1"/>
        <v>6.4499968689335663E-2</v>
      </c>
    </row>
    <row r="45" spans="1:7" s="48" customFormat="1" ht="15" customHeight="1" thickBot="1" x14ac:dyDescent="0.4">
      <c r="A45" s="73" t="s">
        <v>47</v>
      </c>
      <c r="B45" s="74"/>
      <c r="C45" s="75">
        <f>C42+C43</f>
        <v>776.18810168820016</v>
      </c>
      <c r="D45" s="75">
        <f t="shared" ref="D45:E45" si="4">D42+D43</f>
        <v>761.41726500000004</v>
      </c>
      <c r="E45" s="76">
        <f t="shared" si="4"/>
        <v>787.21713699999998</v>
      </c>
      <c r="F45" s="77">
        <f t="shared" si="0"/>
        <v>25.799871999999937</v>
      </c>
      <c r="G45" s="78">
        <f t="shared" si="1"/>
        <v>3.388401233586414E-2</v>
      </c>
    </row>
    <row r="46" spans="1:7" s="80" customFormat="1" ht="14.45" customHeight="1" x14ac:dyDescent="0.25">
      <c r="A46" s="79" t="s">
        <v>48</v>
      </c>
    </row>
    <row r="47" spans="1:7" s="80" customFormat="1" ht="14.45" customHeight="1" x14ac:dyDescent="0.25">
      <c r="A47" s="85" t="s">
        <v>49</v>
      </c>
      <c r="B47" s="85"/>
      <c r="C47" s="85"/>
      <c r="D47" s="85"/>
      <c r="E47" s="85"/>
      <c r="F47" s="85"/>
      <c r="G47" s="85"/>
    </row>
    <row r="48" spans="1:7" s="81" customFormat="1" ht="39.75" customHeight="1" x14ac:dyDescent="0.25">
      <c r="A48" s="86" t="s">
        <v>50</v>
      </c>
      <c r="B48" s="86"/>
      <c r="C48" s="86"/>
      <c r="D48" s="86"/>
      <c r="E48" s="86"/>
      <c r="F48" s="86"/>
      <c r="G48" s="86"/>
    </row>
    <row r="49" spans="1:7" s="81" customFormat="1" ht="14.45" customHeight="1" x14ac:dyDescent="0.25">
      <c r="A49" s="82" t="s">
        <v>51</v>
      </c>
      <c r="B49" s="83"/>
      <c r="C49" s="83"/>
      <c r="D49" s="83"/>
      <c r="E49" s="83"/>
      <c r="F49" s="83"/>
      <c r="G49" s="83"/>
    </row>
    <row r="50" spans="1:7" s="81" customFormat="1" ht="28.15" customHeight="1" x14ac:dyDescent="0.25">
      <c r="A50" s="86" t="s">
        <v>52</v>
      </c>
      <c r="B50" s="86"/>
      <c r="C50" s="86"/>
      <c r="D50" s="86"/>
      <c r="E50" s="86"/>
      <c r="F50" s="86"/>
      <c r="G50" s="86"/>
    </row>
    <row r="51" spans="1:7" s="81" customFormat="1" ht="27" customHeight="1" x14ac:dyDescent="0.25">
      <c r="A51" s="87" t="s">
        <v>53</v>
      </c>
      <c r="B51" s="87"/>
      <c r="C51" s="87"/>
      <c r="D51" s="87"/>
      <c r="E51" s="87"/>
      <c r="F51" s="87"/>
      <c r="G51" s="87"/>
    </row>
    <row r="52" spans="1:7" ht="28.15" customHeight="1" x14ac:dyDescent="0.2">
      <c r="A52" s="88" t="s">
        <v>54</v>
      </c>
      <c r="B52" s="88"/>
      <c r="C52" s="88"/>
      <c r="D52" s="88"/>
      <c r="E52" s="88"/>
      <c r="F52" s="88"/>
      <c r="G52" s="88"/>
    </row>
    <row r="54" spans="1:7" x14ac:dyDescent="0.2">
      <c r="A54" s="84"/>
      <c r="B54" s="84"/>
      <c r="C54" s="84"/>
      <c r="D54" s="84"/>
      <c r="E54" s="84"/>
      <c r="F54" s="84"/>
      <c r="G54" s="84"/>
    </row>
  </sheetData>
  <mergeCells count="15">
    <mergeCell ref="A1:G1"/>
    <mergeCell ref="A2:G2"/>
    <mergeCell ref="A3:G3"/>
    <mergeCell ref="A5:G5"/>
    <mergeCell ref="C6:C9"/>
    <mergeCell ref="D6:D9"/>
    <mergeCell ref="E6:E9"/>
    <mergeCell ref="F6:G8"/>
    <mergeCell ref="A7:A9"/>
    <mergeCell ref="B7:B9"/>
    <mergeCell ref="A47:G47"/>
    <mergeCell ref="A48:G48"/>
    <mergeCell ref="A50:G50"/>
    <mergeCell ref="A51:G51"/>
    <mergeCell ref="A52:G52"/>
  </mergeCells>
  <printOptions horizontalCentered="1"/>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BP Programs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2015-01-30T12:24:57Z</cp:lastPrinted>
  <dcterms:created xsi:type="dcterms:W3CDTF">2015-01-29T19:05:34Z</dcterms:created>
  <dcterms:modified xsi:type="dcterms:W3CDTF">2015-02-02T14:13:14Z</dcterms:modified>
</cp:coreProperties>
</file>