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FY 2018\FY 2018 Congressional Request\Production Files\FInal Replacement Files\"/>
    </mc:Choice>
  </mc:AlternateContent>
  <bookViews>
    <workbookView xWindow="0" yWindow="0" windowWidth="20160" windowHeight="9324"/>
  </bookViews>
  <sheets>
    <sheet name="NSF Req &amp; Approps" sheetId="1" r:id="rId1"/>
  </sheets>
  <definedNames>
    <definedName name="_xlnm.Print_Area" localSheetId="0">'NSF Req &amp; Approps'!$A$1:$O$31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N22" i="1"/>
  <c r="N28" i="1" l="1"/>
  <c r="K28" i="1"/>
  <c r="C28" i="1"/>
  <c r="M27" i="1"/>
  <c r="M28" i="1" s="1"/>
  <c r="L27" i="1"/>
  <c r="K27" i="1"/>
  <c r="J27" i="1"/>
  <c r="I27" i="1"/>
  <c r="I28" i="1" s="1"/>
  <c r="H27" i="1"/>
  <c r="G27" i="1"/>
  <c r="G28" i="1" s="1"/>
  <c r="F27" i="1"/>
  <c r="E27" i="1"/>
  <c r="E28" i="1" s="1"/>
  <c r="D27" i="1"/>
  <c r="C27" i="1"/>
  <c r="O27" i="1" s="1"/>
  <c r="B27" i="1"/>
  <c r="N27" i="1" s="1"/>
  <c r="O26" i="1"/>
  <c r="N26" i="1"/>
  <c r="O25" i="1"/>
  <c r="N25" i="1"/>
  <c r="O24" i="1"/>
  <c r="N24" i="1"/>
  <c r="O23" i="1"/>
  <c r="N23" i="1"/>
  <c r="O21" i="1"/>
  <c r="N21" i="1"/>
  <c r="O20" i="1"/>
  <c r="N20" i="1"/>
  <c r="G20" i="1"/>
  <c r="C20" i="1"/>
  <c r="N19" i="1"/>
  <c r="M19" i="1"/>
  <c r="K19" i="1"/>
  <c r="I19" i="1"/>
  <c r="G19" i="1"/>
  <c r="O19" i="1" s="1"/>
  <c r="E19" i="1"/>
  <c r="C19" i="1"/>
  <c r="O18" i="1"/>
  <c r="N18" i="1"/>
  <c r="C18" i="1"/>
  <c r="M17" i="1"/>
  <c r="L17" i="1"/>
  <c r="K17" i="1"/>
  <c r="J17" i="1"/>
  <c r="H17" i="1"/>
  <c r="G17" i="1"/>
  <c r="F17" i="1"/>
  <c r="E17" i="1"/>
  <c r="D17" i="1"/>
  <c r="B17" i="1"/>
  <c r="N17" i="1" s="1"/>
  <c r="O16" i="1"/>
  <c r="N16" i="1"/>
  <c r="N15" i="1"/>
  <c r="I15" i="1"/>
  <c r="I17" i="1" s="1"/>
  <c r="C15" i="1"/>
  <c r="C17" i="1" s="1"/>
  <c r="O17" i="1" s="1"/>
  <c r="N14" i="1"/>
  <c r="E14" i="1"/>
  <c r="O14" i="1" s="1"/>
  <c r="C14" i="1"/>
  <c r="N13" i="1"/>
  <c r="M13" i="1"/>
  <c r="K13" i="1"/>
  <c r="I13" i="1"/>
  <c r="G13" i="1"/>
  <c r="E13" i="1"/>
  <c r="O13" i="1" s="1"/>
  <c r="C13" i="1"/>
  <c r="N12" i="1"/>
  <c r="M12" i="1"/>
  <c r="K12" i="1"/>
  <c r="I12" i="1"/>
  <c r="G12" i="1"/>
  <c r="E12" i="1"/>
  <c r="O12" i="1" s="1"/>
  <c r="C12" i="1"/>
  <c r="N11" i="1"/>
  <c r="M11" i="1"/>
  <c r="K11" i="1"/>
  <c r="I11" i="1"/>
  <c r="G11" i="1"/>
  <c r="E11" i="1"/>
  <c r="O11" i="1" s="1"/>
  <c r="C11" i="1"/>
  <c r="N10" i="1"/>
  <c r="M10" i="1"/>
  <c r="K10" i="1"/>
  <c r="I10" i="1"/>
  <c r="G10" i="1"/>
  <c r="E10" i="1"/>
  <c r="O10" i="1" s="1"/>
  <c r="C10" i="1"/>
  <c r="N9" i="1"/>
  <c r="M9" i="1"/>
  <c r="K9" i="1"/>
  <c r="I9" i="1"/>
  <c r="G9" i="1"/>
  <c r="E9" i="1"/>
  <c r="O9" i="1" s="1"/>
  <c r="C9" i="1"/>
  <c r="N8" i="1"/>
  <c r="K8" i="1"/>
  <c r="I8" i="1"/>
  <c r="E8" i="1"/>
  <c r="C8" i="1"/>
  <c r="O8" i="1" s="1"/>
  <c r="N7" i="1"/>
  <c r="K7" i="1"/>
  <c r="I7" i="1"/>
  <c r="G7" i="1"/>
  <c r="O7" i="1" s="1"/>
  <c r="E7" i="1"/>
  <c r="C7" i="1"/>
  <c r="N6" i="1"/>
  <c r="I6" i="1"/>
  <c r="G6" i="1"/>
  <c r="E6" i="1"/>
  <c r="C6" i="1"/>
  <c r="O6" i="1" s="1"/>
  <c r="O28" i="1" l="1"/>
  <c r="O15" i="1"/>
</calcChain>
</file>

<file path=xl/sharedStrings.xml><?xml version="1.0" encoding="utf-8"?>
<sst xmlns="http://schemas.openxmlformats.org/spreadsheetml/2006/main" count="34" uniqueCount="22">
  <si>
    <t>NSF Budget Requests and Appropriations By Account: FY 2000 - FY 2018</t>
  </si>
  <si>
    <t>(Millions of Current Dollars)</t>
  </si>
  <si>
    <t>Click here for complete history</t>
  </si>
  <si>
    <t>Fiscal Year</t>
  </si>
  <si>
    <t>Research &amp; Related Activities
(R&amp;RA)</t>
  </si>
  <si>
    <t>Education &amp; Human Resources
(EHR)</t>
  </si>
  <si>
    <r>
      <t>Major
Research Equipment &amp; Facilities Construction (MREFC)</t>
    </r>
    <r>
      <rPr>
        <vertAlign val="superscript"/>
        <sz val="10"/>
        <rFont val="Arial"/>
        <family val="2"/>
      </rPr>
      <t>1</t>
    </r>
  </si>
  <si>
    <r>
      <t>Agency Operations &amp; Award Management (AOAM)</t>
    </r>
    <r>
      <rPr>
        <vertAlign val="superscript"/>
        <sz val="10"/>
        <rFont val="Arial"/>
        <family val="2"/>
      </rPr>
      <t>2</t>
    </r>
  </si>
  <si>
    <t>Office of
Inspector General
(OIG)</t>
  </si>
  <si>
    <t>National
Science Board
(NSB)</t>
  </si>
  <si>
    <t>NSF,
TOTAL</t>
  </si>
  <si>
    <t>Request</t>
  </si>
  <si>
    <t>Appropriation</t>
  </si>
  <si>
    <t>2009 ARRA</t>
  </si>
  <si>
    <t>2009 Total</t>
  </si>
  <si>
    <t>2013</t>
  </si>
  <si>
    <t>2017 Discretionary</t>
  </si>
  <si>
    <t>2017 Mandatory</t>
  </si>
  <si>
    <t>2017 Total</t>
  </si>
  <si>
    <t>Appropriations as shown are post-transfer.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</si>
  <si>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The Major Research Equipment and Facilities Construction (MREFC) account was previously known as Major Research Equipment (MRE) until FY 2002.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</si>
  <si>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The Agency Operations and Award Management (AOAM) account was known as Salaries &amp; Expenses (S&amp;E) until FY 2008.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</si>
</sst>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&quot;-&quot;??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2"/>
    </font>
    <font>
      <u/>
      <sz val="10"/>
      <color theme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</borders>
  <cellStyleXfs count="7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12" fillId="0" borderId="0"/>
    <xf numFmtId="0" fontId="1" fillId="0" borderId="0"/>
    <xf numFmtId="0" fontId="3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1" fillId="0" borderId="0" xfId="0" applyFont="1"/>
    <xf numFmtId="0" fontId="3" fillId="0" borderId="0" xfId="0" applyFont="1" applyAlignment="1"/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 applyProtection="1">
      <alignment horizontal="left"/>
    </xf>
    <xf numFmtId="164" fontId="3" fillId="0" borderId="10" xfId="0" applyNumberFormat="1" applyFont="1" applyFill="1" applyBorder="1" applyAlignment="1"/>
    <xf numFmtId="164" fontId="3" fillId="0" borderId="11" xfId="0" applyNumberFormat="1" applyFont="1" applyFill="1" applyBorder="1" applyAlignment="1"/>
    <xf numFmtId="0" fontId="3" fillId="0" borderId="9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64" fontId="6" fillId="0" borderId="13" xfId="0" applyNumberFormat="1" applyFont="1" applyFill="1" applyBorder="1" applyAlignment="1"/>
    <xf numFmtId="164" fontId="6" fillId="0" borderId="14" xfId="0" applyNumberFormat="1" applyFont="1" applyFill="1" applyBorder="1" applyAlignment="1"/>
    <xf numFmtId="0" fontId="6" fillId="0" borderId="9" xfId="0" applyFont="1" applyBorder="1" applyAlignment="1"/>
    <xf numFmtId="164" fontId="6" fillId="0" borderId="10" xfId="0" applyNumberFormat="1" applyFont="1" applyFill="1" applyBorder="1" applyAlignment="1"/>
    <xf numFmtId="164" fontId="6" fillId="0" borderId="11" xfId="0" applyNumberFormat="1" applyFont="1" applyFill="1" applyBorder="1" applyAlignment="1"/>
    <xf numFmtId="0" fontId="3" fillId="0" borderId="15" xfId="0" applyFont="1" applyBorder="1" applyAlignment="1">
      <alignment horizontal="left"/>
    </xf>
    <xf numFmtId="164" fontId="3" fillId="0" borderId="16" xfId="0" applyNumberFormat="1" applyFont="1" applyFill="1" applyBorder="1" applyAlignment="1"/>
    <xf numFmtId="164" fontId="3" fillId="0" borderId="17" xfId="0" applyNumberFormat="1" applyFont="1" applyFill="1" applyBorder="1" applyAlignment="1"/>
    <xf numFmtId="0" fontId="9" fillId="0" borderId="9" xfId="0" applyFont="1" applyFill="1" applyBorder="1" applyAlignment="1">
      <alignment horizontal="left" vertical="top" wrapText="1" readingOrder="1"/>
    </xf>
    <xf numFmtId="164" fontId="9" fillId="0" borderId="10" xfId="0" applyNumberFormat="1" applyFont="1" applyFill="1" applyBorder="1" applyAlignment="1">
      <alignment vertical="top"/>
    </xf>
    <xf numFmtId="164" fontId="9" fillId="0" borderId="11" xfId="0" applyNumberFormat="1" applyFont="1" applyFill="1" applyBorder="1" applyAlignment="1">
      <alignment vertical="top"/>
    </xf>
    <xf numFmtId="49" fontId="3" fillId="0" borderId="9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3" fillId="0" borderId="1" xfId="6" applyFont="1" applyBorder="1" applyAlignment="1" applyProtection="1">
      <alignment horizontal="center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7">
    <cellStyle name="Hyperlink" xfId="6" builtinId="8"/>
    <cellStyle name="Normal" xfId="0" builtinId="0"/>
    <cellStyle name="Normal 2" xfId="1"/>
    <cellStyle name="Normal 3" xfId="5"/>
    <cellStyle name="Normal 4" xfId="4"/>
    <cellStyle name="Normal 5" xfId="3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ellweb.bfa.nsf.gov/" TargetMode="External"/><Relationship Id="rId1" Type="http://schemas.openxmlformats.org/officeDocument/2006/relationships/hyperlink" Target="http://dellweb.bfa.nsf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showGridLines="0" tabSelected="1" workbookViewId="0">
      <selection sqref="A1:O1"/>
    </sheetView>
  </sheetViews>
  <sheetFormatPr defaultColWidth="9.109375" defaultRowHeight="13.8" x14ac:dyDescent="0.25"/>
  <cols>
    <col min="1" max="1" width="16.109375" style="1" customWidth="1"/>
    <col min="2" max="2" width="9.5546875" style="1" bestFit="1" customWidth="1"/>
    <col min="3" max="3" width="11.88671875" style="1" bestFit="1" customWidth="1"/>
    <col min="4" max="4" width="9.33203125" style="1" bestFit="1" customWidth="1"/>
    <col min="5" max="5" width="11.88671875" style="1" bestFit="1" customWidth="1"/>
    <col min="6" max="6" width="9.33203125" style="1" bestFit="1" customWidth="1"/>
    <col min="7" max="7" width="11.88671875" style="1" bestFit="1" customWidth="1"/>
    <col min="8" max="8" width="9.33203125" style="1" bestFit="1" customWidth="1"/>
    <col min="9" max="9" width="11.88671875" style="1" bestFit="1" customWidth="1"/>
    <col min="10" max="10" width="9.33203125" style="1" bestFit="1" customWidth="1"/>
    <col min="11" max="11" width="11.88671875" style="1" bestFit="1" customWidth="1"/>
    <col min="12" max="12" width="9.33203125" style="1" bestFit="1" customWidth="1"/>
    <col min="13" max="13" width="11.88671875" style="1" bestFit="1" customWidth="1"/>
    <col min="14" max="14" width="9.5546875" style="1" bestFit="1" customWidth="1"/>
    <col min="15" max="15" width="11.88671875" style="1" bestFit="1" customWidth="1"/>
    <col min="16" max="16384" width="9.109375" style="1"/>
  </cols>
  <sheetData>
    <row r="1" spans="1:15" s="2" customFormat="1" ht="31.8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2" customFormat="1" ht="15.6" customHeight="1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2" customFormat="1" thickBot="1" x14ac:dyDescent="0.3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s="2" customFormat="1" ht="58.2" customHeight="1" x14ac:dyDescent="0.25">
      <c r="A4" s="29" t="s">
        <v>3</v>
      </c>
      <c r="B4" s="31" t="s">
        <v>4</v>
      </c>
      <c r="C4" s="32"/>
      <c r="D4" s="31" t="s">
        <v>5</v>
      </c>
      <c r="E4" s="32"/>
      <c r="F4" s="31" t="s">
        <v>6</v>
      </c>
      <c r="G4" s="32"/>
      <c r="H4" s="31" t="s">
        <v>7</v>
      </c>
      <c r="I4" s="32"/>
      <c r="J4" s="31" t="s">
        <v>8</v>
      </c>
      <c r="K4" s="32"/>
      <c r="L4" s="31" t="s">
        <v>9</v>
      </c>
      <c r="M4" s="32"/>
      <c r="N4" s="31" t="s">
        <v>10</v>
      </c>
      <c r="O4" s="32"/>
    </row>
    <row r="5" spans="1:15" s="2" customFormat="1" ht="22.2" customHeight="1" x14ac:dyDescent="0.25">
      <c r="A5" s="30"/>
      <c r="B5" s="3" t="s">
        <v>11</v>
      </c>
      <c r="C5" s="4" t="s">
        <v>12</v>
      </c>
      <c r="D5" s="3" t="s">
        <v>11</v>
      </c>
      <c r="E5" s="4" t="s">
        <v>12</v>
      </c>
      <c r="F5" s="3" t="s">
        <v>11</v>
      </c>
      <c r="G5" s="4" t="s">
        <v>12</v>
      </c>
      <c r="H5" s="3" t="s">
        <v>11</v>
      </c>
      <c r="I5" s="4" t="s">
        <v>12</v>
      </c>
      <c r="J5" s="3" t="s">
        <v>11</v>
      </c>
      <c r="K5" s="4" t="s">
        <v>12</v>
      </c>
      <c r="L5" s="3" t="s">
        <v>11</v>
      </c>
      <c r="M5" s="4" t="s">
        <v>12</v>
      </c>
      <c r="N5" s="3" t="s">
        <v>11</v>
      </c>
      <c r="O5" s="4" t="s">
        <v>12</v>
      </c>
    </row>
    <row r="6" spans="1:15" x14ac:dyDescent="0.25">
      <c r="A6" s="5">
        <v>2000</v>
      </c>
      <c r="B6" s="6">
        <v>3004</v>
      </c>
      <c r="C6" s="7">
        <f>2966-8.4994+15.3953</f>
        <v>2972.8959</v>
      </c>
      <c r="D6" s="6">
        <v>678</v>
      </c>
      <c r="E6" s="7">
        <f>696.6-5.728</f>
        <v>690.87200000000007</v>
      </c>
      <c r="F6" s="6">
        <v>85</v>
      </c>
      <c r="G6" s="7">
        <f>95-1.5</f>
        <v>93.5</v>
      </c>
      <c r="H6" s="6">
        <v>149</v>
      </c>
      <c r="I6" s="7">
        <f>149-0.1+0.383928</f>
        <v>149.283928</v>
      </c>
      <c r="J6" s="6">
        <v>5.45</v>
      </c>
      <c r="K6" s="7">
        <v>5.45</v>
      </c>
      <c r="L6" s="6">
        <v>0</v>
      </c>
      <c r="M6" s="7">
        <v>0</v>
      </c>
      <c r="N6" s="6">
        <f t="shared" ref="N6:O21" si="0">SUM(B6,D6,F6,H6,J6,L6)</f>
        <v>3921.45</v>
      </c>
      <c r="O6" s="7">
        <f t="shared" si="0"/>
        <v>3912.0018279999995</v>
      </c>
    </row>
    <row r="7" spans="1:15" x14ac:dyDescent="0.25">
      <c r="A7" s="5">
        <v>2001</v>
      </c>
      <c r="B7" s="6">
        <v>3540.68</v>
      </c>
      <c r="C7" s="7">
        <f>3350-7.369492+13.6545</f>
        <v>3356.2850080000003</v>
      </c>
      <c r="D7" s="6">
        <v>729.01</v>
      </c>
      <c r="E7" s="7">
        <f>787.352-1.731-0.0225</f>
        <v>785.59849999999994</v>
      </c>
      <c r="F7" s="6">
        <v>138.54</v>
      </c>
      <c r="G7" s="7">
        <f>121.6-0.268</f>
        <v>121.33199999999999</v>
      </c>
      <c r="H7" s="6">
        <v>157.88999999999999</v>
      </c>
      <c r="I7" s="7">
        <f>160.89-0.354+0.549</f>
        <v>161.08499999999998</v>
      </c>
      <c r="J7" s="6">
        <v>6.28</v>
      </c>
      <c r="K7" s="7">
        <f>6.28-0.013</f>
        <v>6.2670000000000003</v>
      </c>
      <c r="L7" s="6">
        <v>0</v>
      </c>
      <c r="M7" s="7">
        <v>0</v>
      </c>
      <c r="N7" s="6">
        <f t="shared" si="0"/>
        <v>4572.3999999999996</v>
      </c>
      <c r="O7" s="7">
        <f t="shared" si="0"/>
        <v>4430.5675080000001</v>
      </c>
    </row>
    <row r="8" spans="1:15" x14ac:dyDescent="0.25">
      <c r="A8" s="5">
        <v>2002</v>
      </c>
      <c r="B8" s="6">
        <v>3326.9810000000002</v>
      </c>
      <c r="C8" s="7">
        <f>3598.34+0.3-0.04+13.664</f>
        <v>3612.2640000000006</v>
      </c>
      <c r="D8" s="6">
        <v>872.40700000000004</v>
      </c>
      <c r="E8" s="7">
        <f>875+19.3-0.02</f>
        <v>894.28</v>
      </c>
      <c r="F8" s="6">
        <v>96.331999999999994</v>
      </c>
      <c r="G8" s="7">
        <v>138.80000000000001</v>
      </c>
      <c r="H8" s="6">
        <v>170.04</v>
      </c>
      <c r="I8" s="7">
        <f>170.04-2.44+3.66</f>
        <v>171.26</v>
      </c>
      <c r="J8" s="6">
        <v>6.76</v>
      </c>
      <c r="K8" s="7">
        <f>6.76-0.01</f>
        <v>6.75</v>
      </c>
      <c r="L8" s="6">
        <v>0</v>
      </c>
      <c r="M8" s="7">
        <v>0</v>
      </c>
      <c r="N8" s="6">
        <f t="shared" si="0"/>
        <v>4472.5200000000004</v>
      </c>
      <c r="O8" s="7">
        <f t="shared" si="0"/>
        <v>4823.3540000000012</v>
      </c>
    </row>
    <row r="9" spans="1:15" x14ac:dyDescent="0.25">
      <c r="A9" s="5">
        <v>2003</v>
      </c>
      <c r="B9" s="6">
        <v>3783.21</v>
      </c>
      <c r="C9" s="7">
        <f>4083-26.53954+12.827739</f>
        <v>4069.2881989999996</v>
      </c>
      <c r="D9" s="6">
        <v>908.08</v>
      </c>
      <c r="E9" s="7">
        <f>909.08-5.909</f>
        <v>903.17100000000005</v>
      </c>
      <c r="F9" s="6">
        <v>126.28</v>
      </c>
      <c r="G9" s="7">
        <f>149.51-0.971815</f>
        <v>148.538185</v>
      </c>
      <c r="H9" s="6">
        <v>210.16</v>
      </c>
      <c r="I9" s="7">
        <f>190.352-1.237288+0.315436</f>
        <v>189.430148</v>
      </c>
      <c r="J9" s="6">
        <v>8.06</v>
      </c>
      <c r="K9" s="7">
        <f>9.25-0.060125</f>
        <v>9.1898750000000007</v>
      </c>
      <c r="L9" s="6">
        <v>0</v>
      </c>
      <c r="M9" s="7">
        <f>3.5-0.02275</f>
        <v>3.4772500000000002</v>
      </c>
      <c r="N9" s="6">
        <f t="shared" si="0"/>
        <v>5035.79</v>
      </c>
      <c r="O9" s="7">
        <f t="shared" si="0"/>
        <v>5323.0946570000006</v>
      </c>
    </row>
    <row r="10" spans="1:15" x14ac:dyDescent="0.25">
      <c r="A10" s="5">
        <v>2004</v>
      </c>
      <c r="B10" s="6">
        <v>4106.3599999999997</v>
      </c>
      <c r="C10" s="7">
        <f>4276.6-25.227161+10.75</f>
        <v>4262.1228390000006</v>
      </c>
      <c r="D10" s="6">
        <v>938.04</v>
      </c>
      <c r="E10" s="7">
        <f>944.55-5.57285</f>
        <v>938.97714999999994</v>
      </c>
      <c r="F10" s="6">
        <v>202.33</v>
      </c>
      <c r="G10" s="7">
        <f>155.9-0.91981</f>
        <v>154.98018999999999</v>
      </c>
      <c r="H10" s="6">
        <v>225.7</v>
      </c>
      <c r="I10" s="7">
        <f>220-1.298+0.2605</f>
        <v>218.96250000000001</v>
      </c>
      <c r="J10" s="6">
        <v>8.77</v>
      </c>
      <c r="K10" s="7">
        <f>10-0.059</f>
        <v>9.9410000000000007</v>
      </c>
      <c r="L10" s="6">
        <v>0</v>
      </c>
      <c r="M10" s="7">
        <f>3.9-0.02301</f>
        <v>3.8769899999999997</v>
      </c>
      <c r="N10" s="6">
        <f t="shared" si="0"/>
        <v>5481.2</v>
      </c>
      <c r="O10" s="7">
        <f t="shared" si="0"/>
        <v>5588.8606689999997</v>
      </c>
    </row>
    <row r="11" spans="1:15" x14ac:dyDescent="0.25">
      <c r="A11" s="5">
        <v>2005</v>
      </c>
      <c r="B11" s="6">
        <v>4452.3100000000004</v>
      </c>
      <c r="C11" s="7">
        <f>4254.593-34.036744+9.42</f>
        <v>4229.9762559999999</v>
      </c>
      <c r="D11" s="6">
        <v>771.36</v>
      </c>
      <c r="E11" s="7">
        <f>848.207-6.785656</f>
        <v>841.42134399999998</v>
      </c>
      <c r="F11" s="6">
        <v>213.27</v>
      </c>
      <c r="G11" s="7">
        <f>175.05-1.4004</f>
        <v>173.64960000000002</v>
      </c>
      <c r="H11" s="6">
        <v>294</v>
      </c>
      <c r="I11" s="7">
        <f>225-1.8+0.25</f>
        <v>223.45</v>
      </c>
      <c r="J11" s="6">
        <v>10.11</v>
      </c>
      <c r="K11" s="7">
        <f>10.11-0.08088</f>
        <v>10.029119999999999</v>
      </c>
      <c r="L11" s="6">
        <v>3.95</v>
      </c>
      <c r="M11" s="7">
        <f>4-0.032</f>
        <v>3.968</v>
      </c>
      <c r="N11" s="6">
        <f t="shared" si="0"/>
        <v>5745</v>
      </c>
      <c r="O11" s="7">
        <f t="shared" si="0"/>
        <v>5482.4943199999998</v>
      </c>
    </row>
    <row r="12" spans="1:15" x14ac:dyDescent="0.25">
      <c r="A12" s="5">
        <v>2006</v>
      </c>
      <c r="B12" s="6">
        <v>4333.49</v>
      </c>
      <c r="C12" s="7">
        <f>4387.52-56.037405+7.725</f>
        <v>4339.2075950000008</v>
      </c>
      <c r="D12" s="6">
        <v>737</v>
      </c>
      <c r="E12" s="7">
        <f>807-10.307004</f>
        <v>796.69299599999999</v>
      </c>
      <c r="F12" s="6">
        <v>250.01</v>
      </c>
      <c r="G12" s="7">
        <f>193.35-2.469466</f>
        <v>190.88053399999998</v>
      </c>
      <c r="H12" s="6">
        <v>269</v>
      </c>
      <c r="I12" s="7">
        <f>250-3.193+0.25</f>
        <v>247.05699999999999</v>
      </c>
      <c r="J12" s="6">
        <v>11.5</v>
      </c>
      <c r="K12" s="7">
        <f>11.5-0.146878</f>
        <v>11.353122000000001</v>
      </c>
      <c r="L12" s="6">
        <v>4</v>
      </c>
      <c r="M12" s="7">
        <f>4-0.051088</f>
        <v>3.948912</v>
      </c>
      <c r="N12" s="6">
        <f t="shared" si="0"/>
        <v>5605</v>
      </c>
      <c r="O12" s="7">
        <f t="shared" si="0"/>
        <v>5589.1401590000005</v>
      </c>
    </row>
    <row r="13" spans="1:15" x14ac:dyDescent="0.25">
      <c r="A13" s="8">
        <v>2007</v>
      </c>
      <c r="B13" s="6">
        <v>4665.95</v>
      </c>
      <c r="C13" s="7">
        <f>4665.95-16.719-0.45+5.46</f>
        <v>4654.241</v>
      </c>
      <c r="D13" s="6">
        <v>816.22</v>
      </c>
      <c r="E13" s="7">
        <f>796.692996-0.099</f>
        <v>796.59399599999995</v>
      </c>
      <c r="F13" s="6">
        <v>240.45</v>
      </c>
      <c r="G13" s="7">
        <f>190.880534-15.275</f>
        <v>175.60553400000001</v>
      </c>
      <c r="H13" s="6">
        <v>281.82</v>
      </c>
      <c r="I13" s="7">
        <f>246.807+1.438+0.25</f>
        <v>248.49499999999998</v>
      </c>
      <c r="J13" s="6">
        <v>11.86</v>
      </c>
      <c r="K13" s="7">
        <f>11.353122+0.074-0.457</f>
        <v>10.970122</v>
      </c>
      <c r="L13" s="6">
        <v>3.91</v>
      </c>
      <c r="M13" s="7">
        <f>3.948912+0.02</f>
        <v>3.968912</v>
      </c>
      <c r="N13" s="6">
        <f t="shared" si="0"/>
        <v>6020.2099999999991</v>
      </c>
      <c r="O13" s="7">
        <f t="shared" si="0"/>
        <v>5889.8745639999997</v>
      </c>
    </row>
    <row r="14" spans="1:15" x14ac:dyDescent="0.25">
      <c r="A14" s="8">
        <v>2008</v>
      </c>
      <c r="B14" s="6">
        <v>5131.6899999999996</v>
      </c>
      <c r="C14" s="7">
        <f>4821.474+22.5-2.24</f>
        <v>4841.7340000000004</v>
      </c>
      <c r="D14" s="6">
        <v>750.6</v>
      </c>
      <c r="E14" s="7">
        <f>725.6+40</f>
        <v>765.6</v>
      </c>
      <c r="F14" s="6">
        <v>244.74</v>
      </c>
      <c r="G14" s="7">
        <v>220.74</v>
      </c>
      <c r="H14" s="6">
        <v>285.58999999999997</v>
      </c>
      <c r="I14" s="7">
        <v>281.79000000000002</v>
      </c>
      <c r="J14" s="6">
        <v>12.35</v>
      </c>
      <c r="K14" s="7">
        <v>11.427</v>
      </c>
      <c r="L14" s="6">
        <v>4.03</v>
      </c>
      <c r="M14" s="7">
        <v>3.9689999999999999</v>
      </c>
      <c r="N14" s="6">
        <f t="shared" si="0"/>
        <v>6429</v>
      </c>
      <c r="O14" s="7">
        <f t="shared" si="0"/>
        <v>6125.26</v>
      </c>
    </row>
    <row r="15" spans="1:15" x14ac:dyDescent="0.25">
      <c r="A15" s="9">
        <v>2009</v>
      </c>
      <c r="B15" s="10">
        <v>5593.99</v>
      </c>
      <c r="C15" s="11">
        <f>5183.1+3.0661</f>
        <v>5186.1661000000004</v>
      </c>
      <c r="D15" s="10">
        <v>790.41</v>
      </c>
      <c r="E15" s="11">
        <v>845.26</v>
      </c>
      <c r="F15" s="10">
        <v>147.51</v>
      </c>
      <c r="G15" s="11">
        <v>152.01</v>
      </c>
      <c r="H15" s="10">
        <v>305.06</v>
      </c>
      <c r="I15" s="11">
        <f>294+0.1479</f>
        <v>294.14789999999999</v>
      </c>
      <c r="J15" s="10">
        <v>13.1</v>
      </c>
      <c r="K15" s="11">
        <v>12</v>
      </c>
      <c r="L15" s="10">
        <v>4.03</v>
      </c>
      <c r="M15" s="11">
        <v>4.03</v>
      </c>
      <c r="N15" s="10">
        <f t="shared" si="0"/>
        <v>6854.1</v>
      </c>
      <c r="O15" s="11">
        <f t="shared" si="0"/>
        <v>6493.6140000000005</v>
      </c>
    </row>
    <row r="16" spans="1:15" x14ac:dyDescent="0.25">
      <c r="A16" s="12" t="s">
        <v>13</v>
      </c>
      <c r="B16" s="13">
        <v>0</v>
      </c>
      <c r="C16" s="14">
        <v>2500</v>
      </c>
      <c r="D16" s="13">
        <v>0</v>
      </c>
      <c r="E16" s="14">
        <v>100</v>
      </c>
      <c r="F16" s="13">
        <v>0</v>
      </c>
      <c r="G16" s="14">
        <v>400</v>
      </c>
      <c r="H16" s="13"/>
      <c r="I16" s="14">
        <v>0</v>
      </c>
      <c r="J16" s="13">
        <v>0</v>
      </c>
      <c r="K16" s="14">
        <v>2</v>
      </c>
      <c r="L16" s="13"/>
      <c r="M16" s="14">
        <v>0</v>
      </c>
      <c r="N16" s="13">
        <f t="shared" si="0"/>
        <v>0</v>
      </c>
      <c r="O16" s="14">
        <f t="shared" si="0"/>
        <v>3002</v>
      </c>
    </row>
    <row r="17" spans="1:15" x14ac:dyDescent="0.25">
      <c r="A17" s="15" t="s">
        <v>14</v>
      </c>
      <c r="B17" s="16">
        <f>SUM(B15:B16)</f>
        <v>5593.99</v>
      </c>
      <c r="C17" s="17">
        <f>SUM(C15:C16)</f>
        <v>7686.1661000000004</v>
      </c>
      <c r="D17" s="16">
        <f t="shared" ref="D17:L17" si="1">SUM(D15:D16)</f>
        <v>790.41</v>
      </c>
      <c r="E17" s="17">
        <f>SUM(E15:E16)</f>
        <v>945.26</v>
      </c>
      <c r="F17" s="16">
        <f t="shared" si="1"/>
        <v>147.51</v>
      </c>
      <c r="G17" s="17">
        <f>SUM(G15:G16)</f>
        <v>552.01</v>
      </c>
      <c r="H17" s="16">
        <f t="shared" si="1"/>
        <v>305.06</v>
      </c>
      <c r="I17" s="17">
        <f>SUM(I15:I16)</f>
        <v>294.14789999999999</v>
      </c>
      <c r="J17" s="16">
        <f t="shared" si="1"/>
        <v>13.1</v>
      </c>
      <c r="K17" s="17">
        <f>SUM(K15:K16)</f>
        <v>14</v>
      </c>
      <c r="L17" s="16">
        <f t="shared" si="1"/>
        <v>4.03</v>
      </c>
      <c r="M17" s="17">
        <f>SUM(M15:M16)</f>
        <v>4.03</v>
      </c>
      <c r="N17" s="16">
        <f t="shared" si="0"/>
        <v>6854.1</v>
      </c>
      <c r="O17" s="17">
        <f t="shared" si="0"/>
        <v>9495.6140000000014</v>
      </c>
    </row>
    <row r="18" spans="1:15" x14ac:dyDescent="0.25">
      <c r="A18" s="8">
        <v>2010</v>
      </c>
      <c r="B18" s="6">
        <v>5733.24</v>
      </c>
      <c r="C18" s="7">
        <f>5617.92-54</f>
        <v>5563.92</v>
      </c>
      <c r="D18" s="6">
        <v>857.76</v>
      </c>
      <c r="E18" s="7">
        <v>872.76</v>
      </c>
      <c r="F18" s="6">
        <v>117.29</v>
      </c>
      <c r="G18" s="7">
        <v>117.29</v>
      </c>
      <c r="H18" s="6">
        <v>318.37</v>
      </c>
      <c r="I18" s="7">
        <v>300</v>
      </c>
      <c r="J18" s="6">
        <v>14</v>
      </c>
      <c r="K18" s="7">
        <v>14</v>
      </c>
      <c r="L18" s="6">
        <v>4.34</v>
      </c>
      <c r="M18" s="7">
        <v>4.54</v>
      </c>
      <c r="N18" s="6">
        <f t="shared" si="0"/>
        <v>7045</v>
      </c>
      <c r="O18" s="7">
        <f t="shared" si="0"/>
        <v>6872.51</v>
      </c>
    </row>
    <row r="19" spans="1:15" x14ac:dyDescent="0.25">
      <c r="A19" s="8">
        <v>2011</v>
      </c>
      <c r="B19" s="6">
        <v>6018.83</v>
      </c>
      <c r="C19" s="7">
        <f>5575.025-11.15005-53.892</f>
        <v>5509.9829499999996</v>
      </c>
      <c r="D19" s="6">
        <v>892</v>
      </c>
      <c r="E19" s="7">
        <f>862.76-1.72552</f>
        <v>861.03448000000003</v>
      </c>
      <c r="F19" s="6">
        <v>165.19</v>
      </c>
      <c r="G19" s="7">
        <f>117.29-0.23458</f>
        <v>117.05542000000001</v>
      </c>
      <c r="H19" s="6">
        <v>329.19</v>
      </c>
      <c r="I19" s="7">
        <f>300-0.6</f>
        <v>299.39999999999998</v>
      </c>
      <c r="J19" s="6">
        <v>14.35</v>
      </c>
      <c r="K19" s="7">
        <f>14-0.028</f>
        <v>13.972</v>
      </c>
      <c r="L19" s="6">
        <v>4.84</v>
      </c>
      <c r="M19" s="7">
        <f>4.54-0.00908</f>
        <v>4.5309200000000001</v>
      </c>
      <c r="N19" s="6">
        <f t="shared" si="0"/>
        <v>7424.4</v>
      </c>
      <c r="O19" s="7">
        <f t="shared" si="0"/>
        <v>6805.9757699999991</v>
      </c>
    </row>
    <row r="20" spans="1:15" x14ac:dyDescent="0.25">
      <c r="A20" s="18">
        <v>2012</v>
      </c>
      <c r="B20" s="19">
        <v>6253.54</v>
      </c>
      <c r="C20" s="20">
        <f>5719-30</f>
        <v>5689</v>
      </c>
      <c r="D20" s="19">
        <v>911.2</v>
      </c>
      <c r="E20" s="20">
        <v>829</v>
      </c>
      <c r="F20" s="19">
        <v>224.68</v>
      </c>
      <c r="G20" s="20">
        <f>167.055+30</f>
        <v>197.05500000000001</v>
      </c>
      <c r="H20" s="19">
        <v>357.74</v>
      </c>
      <c r="I20" s="20">
        <v>299.39999999999998</v>
      </c>
      <c r="J20" s="19">
        <v>15</v>
      </c>
      <c r="K20" s="20">
        <v>14.2</v>
      </c>
      <c r="L20" s="19">
        <v>4.84</v>
      </c>
      <c r="M20" s="20">
        <v>4.4400000000000004</v>
      </c>
      <c r="N20" s="19">
        <f t="shared" si="0"/>
        <v>7767</v>
      </c>
      <c r="O20" s="20">
        <f t="shared" si="0"/>
        <v>7033.0949999999993</v>
      </c>
    </row>
    <row r="21" spans="1:15" x14ac:dyDescent="0.25">
      <c r="A21" s="21" t="s">
        <v>15</v>
      </c>
      <c r="B21" s="6">
        <v>5983.28</v>
      </c>
      <c r="C21" s="7">
        <v>5543.7169999999996</v>
      </c>
      <c r="D21" s="6">
        <v>875.61</v>
      </c>
      <c r="E21" s="7">
        <v>833.31</v>
      </c>
      <c r="F21" s="6">
        <v>196.17</v>
      </c>
      <c r="G21" s="7">
        <v>196.17</v>
      </c>
      <c r="H21" s="6">
        <v>299.39999999999998</v>
      </c>
      <c r="I21" s="7">
        <v>293.60000000000002</v>
      </c>
      <c r="J21" s="6">
        <v>14.2</v>
      </c>
      <c r="K21" s="7">
        <v>13.19125</v>
      </c>
      <c r="L21" s="6">
        <v>4.4400000000000004</v>
      </c>
      <c r="M21" s="7">
        <v>4.1245890000000003</v>
      </c>
      <c r="N21" s="6">
        <f t="shared" si="0"/>
        <v>7373.0999999999985</v>
      </c>
      <c r="O21" s="7">
        <f t="shared" si="0"/>
        <v>6884.1128390000003</v>
      </c>
    </row>
    <row r="22" spans="1:15" x14ac:dyDescent="0.25">
      <c r="A22" s="22">
        <v>2014</v>
      </c>
      <c r="B22" s="6">
        <v>6212.29</v>
      </c>
      <c r="C22" s="7">
        <v>5801.63364</v>
      </c>
      <c r="D22" s="6">
        <v>880.29</v>
      </c>
      <c r="E22" s="7">
        <v>845.4384</v>
      </c>
      <c r="F22" s="6">
        <v>210.12</v>
      </c>
      <c r="G22" s="7">
        <v>200</v>
      </c>
      <c r="H22" s="6">
        <v>304.29000000000002</v>
      </c>
      <c r="I22" s="7">
        <v>306.26195999999999</v>
      </c>
      <c r="J22" s="6">
        <v>14.32</v>
      </c>
      <c r="K22" s="7">
        <v>14.283999999999999</v>
      </c>
      <c r="L22" s="6">
        <v>4.47</v>
      </c>
      <c r="M22" s="7">
        <v>4.3</v>
      </c>
      <c r="N22" s="6">
        <f t="shared" ref="N22:O22" si="2">SUM(B22,D22,F22,H22,J22,L22)</f>
        <v>7625.78</v>
      </c>
      <c r="O22" s="7">
        <f t="shared" si="2"/>
        <v>7171.9179999999997</v>
      </c>
    </row>
    <row r="23" spans="1:15" x14ac:dyDescent="0.25">
      <c r="A23" s="22">
        <v>2015</v>
      </c>
      <c r="B23" s="6">
        <v>5807.46</v>
      </c>
      <c r="C23" s="7">
        <v>5933.6450000000004</v>
      </c>
      <c r="D23" s="6">
        <v>889.75</v>
      </c>
      <c r="E23" s="7">
        <v>866</v>
      </c>
      <c r="F23" s="6">
        <v>200.76</v>
      </c>
      <c r="G23" s="7">
        <v>200.76</v>
      </c>
      <c r="H23" s="6">
        <v>338.23</v>
      </c>
      <c r="I23" s="7">
        <v>325</v>
      </c>
      <c r="J23" s="6">
        <v>14.43</v>
      </c>
      <c r="K23" s="7">
        <v>14.43</v>
      </c>
      <c r="L23" s="6">
        <v>4.37</v>
      </c>
      <c r="M23" s="7">
        <v>4.37</v>
      </c>
      <c r="N23" s="6">
        <f t="shared" ref="N23:O28" si="3">SUM(B23,D23,F23,H23,J23,L23)</f>
        <v>7255.0000000000009</v>
      </c>
      <c r="O23" s="7">
        <f t="shared" si="3"/>
        <v>7344.2050000000008</v>
      </c>
    </row>
    <row r="24" spans="1:15" x14ac:dyDescent="0.25">
      <c r="A24" s="22">
        <v>2016</v>
      </c>
      <c r="B24" s="6">
        <v>6186.3</v>
      </c>
      <c r="C24" s="7">
        <v>5989.6750000000011</v>
      </c>
      <c r="D24" s="6">
        <v>962.57</v>
      </c>
      <c r="E24" s="7">
        <v>878.97</v>
      </c>
      <c r="F24" s="6">
        <v>200.31</v>
      </c>
      <c r="G24" s="7">
        <v>218.31</v>
      </c>
      <c r="H24" s="6">
        <v>354.84</v>
      </c>
      <c r="I24" s="7">
        <v>357</v>
      </c>
      <c r="J24" s="6">
        <v>15.16</v>
      </c>
      <c r="K24" s="7">
        <v>15.16</v>
      </c>
      <c r="L24" s="6">
        <v>4.37</v>
      </c>
      <c r="M24" s="7">
        <v>4.37</v>
      </c>
      <c r="N24" s="6">
        <f t="shared" si="3"/>
        <v>7723.55</v>
      </c>
      <c r="O24" s="7">
        <f t="shared" si="3"/>
        <v>7463.4850000000015</v>
      </c>
    </row>
    <row r="25" spans="1:15" x14ac:dyDescent="0.25">
      <c r="A25" s="9" t="s">
        <v>16</v>
      </c>
      <c r="B25" s="10">
        <v>6079.43</v>
      </c>
      <c r="C25" s="11">
        <v>0</v>
      </c>
      <c r="D25" s="10">
        <v>898.87</v>
      </c>
      <c r="E25" s="11">
        <v>0</v>
      </c>
      <c r="F25" s="10">
        <v>193.12</v>
      </c>
      <c r="G25" s="11">
        <v>0</v>
      </c>
      <c r="H25" s="10">
        <v>373.02</v>
      </c>
      <c r="I25" s="11">
        <v>0</v>
      </c>
      <c r="J25" s="10">
        <v>15.2</v>
      </c>
      <c r="K25" s="11">
        <v>0</v>
      </c>
      <c r="L25" s="10">
        <v>4.38</v>
      </c>
      <c r="M25" s="11">
        <v>0</v>
      </c>
      <c r="N25" s="10">
        <f t="shared" si="3"/>
        <v>7564.02</v>
      </c>
      <c r="O25" s="11">
        <f t="shared" si="3"/>
        <v>0</v>
      </c>
    </row>
    <row r="26" spans="1:15" x14ac:dyDescent="0.25">
      <c r="A26" s="12" t="s">
        <v>17</v>
      </c>
      <c r="B26" s="13">
        <v>346.01</v>
      </c>
      <c r="C26" s="14">
        <v>0</v>
      </c>
      <c r="D26" s="13">
        <v>53.99</v>
      </c>
      <c r="E26" s="14">
        <v>0</v>
      </c>
      <c r="F26" s="13">
        <v>0</v>
      </c>
      <c r="G26" s="14">
        <v>0</v>
      </c>
      <c r="H26" s="13">
        <v>0</v>
      </c>
      <c r="I26" s="14">
        <v>0</v>
      </c>
      <c r="J26" s="13">
        <v>0</v>
      </c>
      <c r="K26" s="14">
        <v>0</v>
      </c>
      <c r="L26" s="13"/>
      <c r="M26" s="14">
        <v>0</v>
      </c>
      <c r="N26" s="13">
        <f t="shared" si="3"/>
        <v>400</v>
      </c>
      <c r="O26" s="14">
        <f t="shared" si="3"/>
        <v>0</v>
      </c>
    </row>
    <row r="27" spans="1:15" x14ac:dyDescent="0.25">
      <c r="A27" s="15" t="s">
        <v>18</v>
      </c>
      <c r="B27" s="16">
        <f>SUM(B25:B26)</f>
        <v>6425.4400000000005</v>
      </c>
      <c r="C27" s="17">
        <f>SUM(C25:C26)</f>
        <v>0</v>
      </c>
      <c r="D27" s="16">
        <f t="shared" ref="D27" si="4">SUM(D25:D26)</f>
        <v>952.86</v>
      </c>
      <c r="E27" s="17">
        <f>SUM(E25:E26)</f>
        <v>0</v>
      </c>
      <c r="F27" s="16">
        <f t="shared" ref="F27" si="5">SUM(F25:F26)</f>
        <v>193.12</v>
      </c>
      <c r="G27" s="17">
        <f>SUM(G25:G26)</f>
        <v>0</v>
      </c>
      <c r="H27" s="16">
        <f t="shared" ref="H27" si="6">SUM(H25:H26)</f>
        <v>373.02</v>
      </c>
      <c r="I27" s="17">
        <f>SUM(I25:I26)</f>
        <v>0</v>
      </c>
      <c r="J27" s="16">
        <f t="shared" ref="J27" si="7">SUM(J25:J26)</f>
        <v>15.2</v>
      </c>
      <c r="K27" s="17">
        <f>SUM(K25:K26)</f>
        <v>0</v>
      </c>
      <c r="L27" s="16">
        <f t="shared" ref="L27" si="8">SUM(L25:L26)</f>
        <v>4.38</v>
      </c>
      <c r="M27" s="17">
        <f>SUM(M25:M26)</f>
        <v>0</v>
      </c>
      <c r="N27" s="16">
        <f t="shared" si="3"/>
        <v>7964.02</v>
      </c>
      <c r="O27" s="17">
        <f t="shared" si="3"/>
        <v>0</v>
      </c>
    </row>
    <row r="28" spans="1:15" ht="14.4" thickBot="1" x14ac:dyDescent="0.3">
      <c r="A28" s="15">
        <v>2018</v>
      </c>
      <c r="B28" s="16">
        <v>5361.6500000000015</v>
      </c>
      <c r="C28" s="17">
        <f>SUM(C26:C27)</f>
        <v>0</v>
      </c>
      <c r="D28" s="16">
        <v>760.55</v>
      </c>
      <c r="E28" s="17">
        <f>SUM(E26:E27)</f>
        <v>0</v>
      </c>
      <c r="F28" s="16">
        <v>182.8</v>
      </c>
      <c r="G28" s="17">
        <f>SUM(G26:G27)</f>
        <v>0</v>
      </c>
      <c r="H28" s="16">
        <v>328.51</v>
      </c>
      <c r="I28" s="17">
        <f>SUM(I26:I27)</f>
        <v>0</v>
      </c>
      <c r="J28" s="16">
        <v>15.007999999999999</v>
      </c>
      <c r="K28" s="17">
        <f>SUM(K26:K27)</f>
        <v>0</v>
      </c>
      <c r="L28" s="16">
        <v>4.37</v>
      </c>
      <c r="M28" s="17">
        <f>SUM(M26:M27)</f>
        <v>0</v>
      </c>
      <c r="N28" s="16">
        <f t="shared" si="3"/>
        <v>6652.8880000000017</v>
      </c>
      <c r="O28" s="17">
        <f t="shared" si="3"/>
        <v>0</v>
      </c>
    </row>
    <row r="29" spans="1:15" x14ac:dyDescent="0.25">
      <c r="A29" s="23" t="s">
        <v>19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x14ac:dyDescent="0.25">
      <c r="A30" s="24" t="s">
        <v>20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x14ac:dyDescent="0.25">
      <c r="A31" s="24" t="s">
        <v>21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</sheetData>
  <mergeCells count="15">
    <mergeCell ref="A29:O29"/>
    <mergeCell ref="A30:O30"/>
    <mergeCell ref="A31:O31"/>
    <mergeCell ref="A32:O32"/>
    <mergeCell ref="A1:O1"/>
    <mergeCell ref="A2:O2"/>
    <mergeCell ref="A3:O3"/>
    <mergeCell ref="A4:A5"/>
    <mergeCell ref="B4:C4"/>
    <mergeCell ref="D4:E4"/>
    <mergeCell ref="F4:G4"/>
    <mergeCell ref="H4:I4"/>
    <mergeCell ref="J4:K4"/>
    <mergeCell ref="L4:M4"/>
    <mergeCell ref="N4:O4"/>
  </mergeCells>
  <hyperlinks>
    <hyperlink ref="A3" r:id="rId1" display="http://dellweb.bfa.nsf.gov/"/>
    <hyperlink ref="A3:I3" r:id="rId2" display="Click here for complete history"/>
  </hyperlinks>
  <printOptions horizontalCentered="1"/>
  <pageMargins left="0.7" right="0.7" top="0.75" bottom="0.75" header="0.3" footer="0.3"/>
  <pageSetup scale="74" orientation="landscape" r:id="rId3"/>
  <ignoredErrors>
    <ignoredError sqref="B17:M17 B27:M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Req &amp; Approps</vt:lpstr>
      <vt:lpstr>'NSF Req &amp; Approps'!Print_Area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2017-05-19T11:55:23Z</cp:lastPrinted>
  <dcterms:created xsi:type="dcterms:W3CDTF">2017-05-18T16:25:51Z</dcterms:created>
  <dcterms:modified xsi:type="dcterms:W3CDTF">2017-05-23T16:20:10Z</dcterms:modified>
</cp:coreProperties>
</file>