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24226"/>
  <xr:revisionPtr revIDLastSave="0" documentId="13_ncr:1_{FAB87020-84A5-4DD2-BA40-C157E404FA2E}" xr6:coauthVersionLast="36" xr6:coauthVersionMax="36" xr10:uidLastSave="{00000000-0000-0000-0000-000000000000}"/>
  <bookViews>
    <workbookView xWindow="285" yWindow="435" windowWidth="16140" windowHeight="9705" xr2:uid="{00000000-000D-0000-FFFF-FFFF00000000}"/>
  </bookViews>
  <sheets>
    <sheet name="NSF BP Summary Table" sheetId="2" r:id="rId1"/>
  </sheets>
  <definedNames>
    <definedName name="_xlnm.Print_Area" localSheetId="0">'NSF BP Summary Table'!$A$1:$G$48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0" i="2" l="1"/>
  <c r="C40" i="2"/>
  <c r="E39" i="2"/>
  <c r="C39" i="2"/>
  <c r="E38" i="2"/>
  <c r="C38" i="2"/>
  <c r="E37" i="2"/>
  <c r="C37" i="2"/>
  <c r="E36" i="2"/>
  <c r="C36" i="2"/>
  <c r="E35" i="2"/>
  <c r="C35" i="2"/>
  <c r="C34" i="2"/>
  <c r="E34" i="2"/>
  <c r="E33" i="2"/>
  <c r="C33" i="2"/>
  <c r="E32" i="2"/>
  <c r="C32" i="2"/>
  <c r="E31" i="2"/>
  <c r="C31" i="2"/>
  <c r="E30" i="2"/>
  <c r="F30" i="2" s="1"/>
  <c r="E29" i="2"/>
  <c r="C29" i="2"/>
  <c r="F20" i="2" l="1"/>
  <c r="G20" i="2" s="1"/>
  <c r="F19" i="2" l="1"/>
  <c r="G19" i="2" s="1"/>
  <c r="F31" i="2"/>
  <c r="G31" i="2" s="1"/>
  <c r="F34" i="2" l="1"/>
  <c r="F37" i="2" l="1"/>
  <c r="G37" i="2" s="1"/>
  <c r="F33" i="2"/>
  <c r="G33" i="2" s="1"/>
  <c r="G34" i="2"/>
  <c r="F36" i="2"/>
  <c r="G36" i="2" s="1"/>
  <c r="F38" i="2"/>
  <c r="G38" i="2" s="1"/>
  <c r="F35" i="2"/>
  <c r="G35" i="2" s="1"/>
  <c r="F18" i="2" l="1"/>
  <c r="G18" i="2" s="1"/>
  <c r="F39" i="2" l="1"/>
  <c r="G39" i="2" s="1"/>
  <c r="F29" i="2"/>
  <c r="G29" i="2" s="1"/>
  <c r="C41" i="2"/>
  <c r="F32" i="2"/>
  <c r="G32" i="2" s="1"/>
  <c r="F26" i="2"/>
  <c r="G26" i="2" s="1"/>
  <c r="F21" i="2" l="1"/>
  <c r="G21" i="2" s="1"/>
  <c r="D41" i="2"/>
  <c r="E41" i="2"/>
  <c r="F40" i="2"/>
  <c r="G40" i="2" s="1"/>
  <c r="F25" i="2"/>
  <c r="F22" i="2"/>
  <c r="F16" i="2"/>
  <c r="F13" i="2"/>
  <c r="F12" i="2"/>
  <c r="F11" i="2" l="1"/>
  <c r="G11" i="2" s="1"/>
  <c r="G13" i="2"/>
  <c r="F15" i="2"/>
  <c r="G15" i="2" s="1"/>
  <c r="G22" i="2"/>
  <c r="F24" i="2"/>
  <c r="G24" i="2" s="1"/>
  <c r="G25" i="2"/>
  <c r="F10" i="2"/>
  <c r="G10" i="2" s="1"/>
  <c r="G12" i="2"/>
  <c r="F14" i="2"/>
  <c r="G14" i="2" s="1"/>
  <c r="G16" i="2"/>
  <c r="F17" i="2"/>
  <c r="G17" i="2" s="1"/>
  <c r="F23" i="2"/>
  <c r="G23" i="2" s="1"/>
  <c r="F27" i="2"/>
  <c r="G27" i="2" s="1"/>
  <c r="F42" i="2"/>
  <c r="G42" i="2" s="1"/>
  <c r="F41" i="2" l="1"/>
  <c r="G41" i="2" s="1"/>
  <c r="E43" i="2"/>
  <c r="D43" i="2"/>
  <c r="C43" i="2"/>
  <c r="E28" i="2"/>
  <c r="D28" i="2"/>
  <c r="C28" i="2"/>
  <c r="C9" i="2" l="1"/>
  <c r="D9" i="2"/>
  <c r="E9" i="2"/>
  <c r="F43" i="2"/>
  <c r="G43" i="2" s="1"/>
  <c r="F28" i="2"/>
  <c r="G28" i="2" s="1"/>
  <c r="F9" i="2" l="1"/>
  <c r="G9" i="2" s="1"/>
</calcChain>
</file>

<file path=xl/sharedStrings.xml><?xml version="1.0" encoding="utf-8"?>
<sst xmlns="http://schemas.openxmlformats.org/spreadsheetml/2006/main" count="54" uniqueCount="54">
  <si>
    <t>ADVANCE</t>
  </si>
  <si>
    <t>Alliances for Graduate Education &amp; the Professoriate (AGEP)</t>
  </si>
  <si>
    <t>Broadening Participation in Engineering (BPE)</t>
  </si>
  <si>
    <t>Career-Life Balance (CLB)</t>
  </si>
  <si>
    <t>Louis Stokes Alliances for Minority Participation (LSAMP)</t>
  </si>
  <si>
    <t>Tribal Colleges &amp; Universities Program (TCUP)</t>
  </si>
  <si>
    <t>(Dollars in Millions)</t>
  </si>
  <si>
    <t>Group/Program</t>
  </si>
  <si>
    <t>Amount</t>
  </si>
  <si>
    <t>Percent</t>
  </si>
  <si>
    <t>EPSCoR</t>
  </si>
  <si>
    <t>Broadening Participation in Biology Fellowships</t>
  </si>
  <si>
    <t>Amount of
Funding
Captured</t>
  </si>
  <si>
    <t>AGEP Graduate Research Supplements (AGEP-GRS)</t>
  </si>
  <si>
    <t>Total, NSF Broadening Participation Programs</t>
  </si>
  <si>
    <t xml:space="preserve">Subtotal, Focused Programs </t>
  </si>
  <si>
    <t>Subtotal, Emphasis Programs</t>
  </si>
  <si>
    <t>Subtotal, Geographic Diversity Program</t>
  </si>
  <si>
    <t>Robert Noyce Teacher Scholarship Program (NOYCE)</t>
  </si>
  <si>
    <t>International Research Experiences for Students (IRES)</t>
  </si>
  <si>
    <t>Improving Undergraduate STEM Education (IUSE)</t>
  </si>
  <si>
    <t>Disability and Rehabilitation Engineering (DARE)</t>
  </si>
  <si>
    <t>Graduate Research Fellowship Program (GRFP)</t>
  </si>
  <si>
    <t>NATIONAL SCIENCE FOUNDATION</t>
  </si>
  <si>
    <t>PROGRAMS TO BROADEN PARTICIPATION</t>
  </si>
  <si>
    <t>Science of Broadening Participation</t>
  </si>
  <si>
    <t>Centers of Research Excellence in Science &amp;
   Technology (CREST)</t>
  </si>
  <si>
    <t>Historically Black Colleges &amp; Universities Undergraduate
   Program (HBCU-UP)</t>
  </si>
  <si>
    <t>Partnerships for Research &amp; Education in Materials
   (PREM)</t>
  </si>
  <si>
    <t>Partnerships in Astronomy &amp; Astrophysics Research
   Education (PAARE)</t>
  </si>
  <si>
    <t>SBE Postdoctoral Research Fellowships-Broadening
   Participation</t>
  </si>
  <si>
    <t>Research Experiences for Undergraduates (REU)
   - Sites and Supplements</t>
  </si>
  <si>
    <t>FY 2020 BUDGET REQUEST TO CONGRESS</t>
  </si>
  <si>
    <t>FY 2018
Actual</t>
  </si>
  <si>
    <t>FY 2020
Request</t>
  </si>
  <si>
    <t>FY 2018 Actual</t>
  </si>
  <si>
    <t>FY 2019
(TBD)</t>
  </si>
  <si>
    <t>FY 2020 Request
 change over</t>
  </si>
  <si>
    <r>
      <t>Excellence Awards in Science &amp; Engineering (EASE)</t>
    </r>
    <r>
      <rPr>
        <vertAlign val="superscript"/>
        <sz val="11"/>
        <rFont val="Arial"/>
        <family val="2"/>
      </rPr>
      <t>1</t>
    </r>
  </si>
  <si>
    <t>Big Idea: Inclusion across the Nation of Communities
   of Learners of Underrepresented Discoverers in 
   Engineering and Science (NSF INCLUDES)</t>
  </si>
  <si>
    <r>
      <rPr>
        <vertAlign val="superscript"/>
        <sz val="9"/>
        <color theme="1"/>
        <rFont val="Arial"/>
        <family val="2"/>
      </rPr>
      <t>1</t>
    </r>
    <r>
      <rPr>
        <sz val="9"/>
        <color theme="1"/>
        <rFont val="Arial"/>
        <family val="2"/>
      </rPr>
      <t xml:space="preserve"> The EASE program is comprised of both Presidential Awards for Excellence in Science, Math and Engineering Mentoring (PAESMEM) and Presidential Awards for Excellence in Mathematics and Science Teaching (PAEMST).</t>
    </r>
  </si>
  <si>
    <t>[10.24]</t>
  </si>
  <si>
    <t>Advancing Informal STEM Learning (AISL)</t>
  </si>
  <si>
    <t>Discovery Research PreK-12 (DRK-12)</t>
  </si>
  <si>
    <r>
      <t>HBCU Excellence in Research (HBCU-EiR)</t>
    </r>
    <r>
      <rPr>
        <vertAlign val="superscript"/>
        <sz val="11"/>
        <rFont val="Arial"/>
        <family val="2"/>
      </rPr>
      <t>2</t>
    </r>
  </si>
  <si>
    <r>
      <t>Improving Undergraduate STEM Education (IUSE):
   Hispanic Serving Institutions (HSI) program</t>
    </r>
    <r>
      <rPr>
        <vertAlign val="superscript"/>
        <sz val="11"/>
        <rFont val="Arial"/>
        <family val="2"/>
      </rPr>
      <t>3</t>
    </r>
  </si>
  <si>
    <r>
      <t>Computer Science for All (CSforAll)</t>
    </r>
    <r>
      <rPr>
        <vertAlign val="superscript"/>
        <sz val="11"/>
        <rFont val="Arial"/>
        <family val="2"/>
      </rPr>
      <t>4</t>
    </r>
  </si>
  <si>
    <r>
      <t>Innovative Technology Experiences for Students 
   and Teachers (ITEST)</t>
    </r>
    <r>
      <rPr>
        <vertAlign val="superscript"/>
        <sz val="11"/>
        <rFont val="Arial"/>
        <family val="2"/>
      </rPr>
      <t>5</t>
    </r>
  </si>
  <si>
    <r>
      <t>NSF Scholarships in STEM (S-STEM)</t>
    </r>
    <r>
      <rPr>
        <vertAlign val="superscript"/>
        <sz val="11"/>
        <color theme="1"/>
        <rFont val="Arial"/>
        <family val="2"/>
      </rPr>
      <t>5</t>
    </r>
  </si>
  <si>
    <r>
      <t>STEM + Computing Partnerships (STEM+C Partnerships)</t>
    </r>
    <r>
      <rPr>
        <vertAlign val="superscript"/>
        <sz val="11"/>
        <rFont val="Arial"/>
        <family val="2"/>
      </rPr>
      <t>4</t>
    </r>
  </si>
  <si>
    <r>
      <rPr>
        <vertAlign val="superscript"/>
        <sz val="9"/>
        <color theme="1"/>
        <rFont val="Arial"/>
        <family val="2"/>
      </rPr>
      <t>3</t>
    </r>
    <r>
      <rPr>
        <sz val="9"/>
        <color theme="1"/>
        <rFont val="Arial"/>
        <family val="2"/>
      </rPr>
      <t xml:space="preserve"> In FY 2017, the HSI Program was funded at $15.0 million within the Integrative Activities budget. These funds were carried over into FY 2018, and supported awards made in FY 2018 ($15.03 million).</t>
    </r>
  </si>
  <si>
    <r>
      <rPr>
        <vertAlign val="superscript"/>
        <sz val="9"/>
        <color theme="1"/>
        <rFont val="Arial"/>
        <family val="2"/>
      </rPr>
      <t>4</t>
    </r>
    <r>
      <rPr>
        <sz val="9"/>
        <color theme="1"/>
        <rFont val="Arial"/>
        <family val="2"/>
      </rPr>
      <t xml:space="preserve"> In FY 2018, $10.0 million in EHR funding for CSforAll was supported as a component of STEM+C and $10.0 million in R&amp;RA funding was provided by CISE. The total FY 2018 Actual is shown for comparison purposes only. In FY 2020, CISE continues its investment in CSforAll. Within EHR in FY 2020, funding for STEM+C moves to implement CSforAll as a freestanding program and to expand EHR's computer science education portfolio through existing programs.</t>
    </r>
  </si>
  <si>
    <r>
      <rPr>
        <vertAlign val="superscript"/>
        <sz val="9"/>
        <color theme="1"/>
        <rFont val="Arial"/>
        <family val="2"/>
      </rPr>
      <t xml:space="preserve">5 </t>
    </r>
    <r>
      <rPr>
        <sz val="9"/>
        <color theme="1"/>
        <rFont val="Arial"/>
        <family val="2"/>
      </rPr>
      <t>ITEST and S-STEM are H1B Visa funded programs.</t>
    </r>
  </si>
  <si>
    <r>
      <rPr>
        <vertAlign val="superscript"/>
        <sz val="9"/>
        <color theme="1"/>
        <rFont val="Arial"/>
        <family val="2"/>
      </rPr>
      <t>2</t>
    </r>
    <r>
      <rPr>
        <sz val="9"/>
        <color theme="1"/>
        <rFont val="Arial"/>
        <family val="2"/>
      </rPr>
      <t xml:space="preserve"> In FY 2017, the HBCU-EiR Program was funded at $10.0 million within the Integrative Activities budget. These funds were carried over into FY 2018, and supported awards made in FY 2018 ($20.35 million).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</si>
</sst>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00;&quot;-&quot;??"/>
    <numFmt numFmtId="166" formatCode="0.0%;\-0.0%;&quot;-&quot;??"/>
  </numFmts>
  <fonts count="12">
    <font>
      <sz val="10"/>
      <name val="Arial"/>
    </font>
    <font>
      <sz val="11"/>
      <color theme="1"/>
      <name val="Calibri"/>
      <family val="2"/>
      <scheme val="minor"/>
    </font>
    <font>
      <sz val="10"/>
      <name val="Arial"/>
      <family val="2"/>
    </font>
    <font>
      <sz val="9"/>
      <color theme="1"/>
      <name val="Arial"/>
      <family val="2"/>
    </font>
    <font>
      <vertAlign val="superscript"/>
      <sz val="9"/>
      <color theme="1"/>
      <name val="Arial"/>
      <family val="2"/>
    </font>
    <font>
      <b/>
      <sz val="11"/>
      <color theme="1"/>
      <name val="Arial"/>
      <family val="2"/>
    </font>
    <font>
      <sz val="11"/>
      <name val="Arial"/>
      <family val="2"/>
    </font>
    <font>
      <sz val="11"/>
      <color theme="1"/>
      <name val="Arial"/>
      <family val="2"/>
    </font>
    <font>
      <b/>
      <sz val="11"/>
      <name val="Arial"/>
      <family val="2"/>
    </font>
    <font>
      <vertAlign val="superscript"/>
      <sz val="11"/>
      <name val="Arial"/>
      <family val="2"/>
    </font>
    <font>
      <vertAlign val="superscript"/>
      <sz val="11"/>
      <color theme="1"/>
      <name val="Arial"/>
      <family val="2"/>
    </font>
    <font>
      <i/>
      <sz val="11"/>
      <name val="Arial"/>
      <family val="2"/>
    </font>
  </fonts>
  <fills count="3">
    <fill>
      <patternFill patternType="none"/>
    </fill>
    <fill>
      <patternFill patternType="gray125"/>
    </fill>
    <fill>
      <patternFill patternType="solid">
        <fgColor theme="2" tint="-9.9978637043366805E-2"/>
        <bgColor indexed="64"/>
      </patternFill>
    </fill>
  </fills>
  <borders count="15">
    <border>
      <left/>
      <right/>
      <top/>
      <bottom/>
      <diagonal/>
    </border>
    <border>
      <left/>
      <right/>
      <top/>
      <bottom style="thin">
        <color indexed="64"/>
      </bottom>
      <diagonal/>
    </border>
    <border>
      <left/>
      <right/>
      <top style="medium">
        <color auto="1"/>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
    <xf numFmtId="0" fontId="0"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66">
    <xf numFmtId="0" fontId="0" fillId="0" borderId="0" xfId="0"/>
    <xf numFmtId="0" fontId="3" fillId="0" borderId="0" xfId="0" applyFont="1" applyAlignment="1">
      <alignment vertical="top"/>
    </xf>
    <xf numFmtId="0" fontId="6" fillId="0" borderId="0" xfId="0" applyFont="1"/>
    <xf numFmtId="0" fontId="5" fillId="0" borderId="0" xfId="0" applyFont="1" applyAlignment="1">
      <alignment horizontal="center"/>
    </xf>
    <xf numFmtId="0" fontId="7" fillId="0" borderId="4" xfId="0" applyFont="1" applyBorder="1" applyAlignment="1">
      <alignment horizontal="center"/>
    </xf>
    <xf numFmtId="0" fontId="7" fillId="0" borderId="7" xfId="0" applyFont="1" applyBorder="1" applyAlignment="1">
      <alignment horizontal="right" wrapText="1"/>
    </xf>
    <xf numFmtId="0" fontId="5" fillId="2" borderId="11" xfId="0" applyFont="1" applyFill="1" applyBorder="1" applyAlignment="1">
      <alignment vertical="center"/>
    </xf>
    <xf numFmtId="0" fontId="5" fillId="2" borderId="12" xfId="0" applyFont="1" applyFill="1" applyBorder="1" applyAlignment="1">
      <alignment horizontal="right" vertical="center"/>
    </xf>
    <xf numFmtId="164" fontId="5" fillId="2" borderId="12" xfId="0" applyNumberFormat="1" applyFont="1" applyFill="1" applyBorder="1" applyAlignment="1">
      <alignment horizontal="right" vertical="center"/>
    </xf>
    <xf numFmtId="166" fontId="5" fillId="2" borderId="13" xfId="1" applyNumberFormat="1" applyFont="1" applyFill="1" applyBorder="1" applyAlignment="1">
      <alignment horizontal="right" vertical="center"/>
    </xf>
    <xf numFmtId="0" fontId="6" fillId="0" borderId="0" xfId="0" applyFont="1" applyAlignment="1">
      <alignment vertical="center"/>
    </xf>
    <xf numFmtId="9" fontId="7" fillId="0" borderId="0" xfId="0" applyNumberFormat="1" applyFont="1" applyBorder="1" applyAlignment="1">
      <alignment horizontal="right" vertical="top"/>
    </xf>
    <xf numFmtId="164" fontId="7" fillId="0" borderId="0" xfId="0" applyNumberFormat="1" applyFont="1" applyFill="1" applyBorder="1" applyAlignment="1">
      <alignment horizontal="right" vertical="top"/>
    </xf>
    <xf numFmtId="166" fontId="7" fillId="0" borderId="8" xfId="1" applyNumberFormat="1" applyFont="1" applyBorder="1" applyAlignment="1">
      <alignment horizontal="right" vertical="top"/>
    </xf>
    <xf numFmtId="0" fontId="6" fillId="0" borderId="0" xfId="0" applyFont="1" applyAlignment="1">
      <alignment vertical="top"/>
    </xf>
    <xf numFmtId="9" fontId="7" fillId="0" borderId="0" xfId="0" applyNumberFormat="1" applyFont="1" applyFill="1" applyBorder="1" applyAlignment="1">
      <alignment horizontal="right" vertical="top"/>
    </xf>
    <xf numFmtId="165" fontId="7" fillId="0" borderId="0" xfId="0" applyNumberFormat="1" applyFont="1" applyFill="1" applyBorder="1" applyAlignment="1">
      <alignment horizontal="right" vertical="top"/>
    </xf>
    <xf numFmtId="166" fontId="7" fillId="0" borderId="8" xfId="1" applyNumberFormat="1" applyFont="1" applyFill="1" applyBorder="1" applyAlignment="1">
      <alignment horizontal="right" vertical="top"/>
    </xf>
    <xf numFmtId="165" fontId="7" fillId="0" borderId="0" xfId="0" applyNumberFormat="1" applyFont="1" applyBorder="1" applyAlignment="1">
      <alignment horizontal="right" vertical="top"/>
    </xf>
    <xf numFmtId="9" fontId="6" fillId="0" borderId="0" xfId="0" applyNumberFormat="1" applyFont="1" applyBorder="1" applyAlignment="1">
      <alignment horizontal="right" vertical="top"/>
    </xf>
    <xf numFmtId="165" fontId="6" fillId="0" borderId="0" xfId="0" applyNumberFormat="1" applyFont="1" applyFill="1" applyBorder="1" applyAlignment="1">
      <alignment horizontal="right" vertical="top"/>
    </xf>
    <xf numFmtId="165" fontId="6" fillId="0" borderId="0" xfId="0" applyNumberFormat="1" applyFont="1" applyBorder="1" applyAlignment="1">
      <alignment horizontal="right" vertical="top"/>
    </xf>
    <xf numFmtId="166" fontId="6" fillId="0" borderId="8" xfId="1" applyNumberFormat="1" applyFont="1" applyBorder="1" applyAlignment="1">
      <alignment horizontal="right" vertical="top"/>
    </xf>
    <xf numFmtId="9" fontId="6" fillId="0" borderId="0" xfId="0" applyNumberFormat="1" applyFont="1" applyFill="1" applyBorder="1" applyAlignment="1">
      <alignment horizontal="right" vertical="top"/>
    </xf>
    <xf numFmtId="166" fontId="6" fillId="0" borderId="8" xfId="1" applyNumberFormat="1" applyFont="1" applyFill="1" applyBorder="1" applyAlignment="1">
      <alignment horizontal="right" vertical="top"/>
    </xf>
    <xf numFmtId="0" fontId="5" fillId="2" borderId="9" xfId="0" applyFont="1" applyFill="1" applyBorder="1" applyAlignment="1">
      <alignment vertical="top"/>
    </xf>
    <xf numFmtId="0" fontId="5" fillId="2" borderId="3" xfId="0" applyFont="1" applyFill="1" applyBorder="1" applyAlignment="1">
      <alignment horizontal="right" vertical="top"/>
    </xf>
    <xf numFmtId="164" fontId="5" fillId="2" borderId="3" xfId="0" applyNumberFormat="1" applyFont="1" applyFill="1" applyBorder="1" applyAlignment="1">
      <alignment horizontal="right" vertical="top"/>
    </xf>
    <xf numFmtId="166" fontId="5" fillId="2" borderId="10" xfId="1" applyNumberFormat="1" applyFont="1" applyFill="1" applyBorder="1" applyAlignment="1">
      <alignment horizontal="right" vertical="top"/>
    </xf>
    <xf numFmtId="0" fontId="6" fillId="0" borderId="5" xfId="0" applyFont="1" applyFill="1" applyBorder="1" applyAlignment="1">
      <alignment horizontal="left" wrapText="1" indent="1"/>
    </xf>
    <xf numFmtId="164" fontId="6" fillId="0" borderId="0" xfId="0" applyNumberFormat="1" applyFont="1" applyFill="1" applyBorder="1" applyAlignment="1">
      <alignment horizontal="right" vertical="top"/>
    </xf>
    <xf numFmtId="164" fontId="6" fillId="0" borderId="0" xfId="0" applyNumberFormat="1" applyFont="1" applyBorder="1" applyAlignment="1">
      <alignment horizontal="right" vertical="top"/>
    </xf>
    <xf numFmtId="0" fontId="5" fillId="2" borderId="9" xfId="0" applyFont="1" applyFill="1" applyBorder="1" applyAlignment="1">
      <alignment vertical="top" wrapText="1"/>
    </xf>
    <xf numFmtId="0" fontId="8" fillId="2" borderId="3" xfId="0" applyFont="1" applyFill="1" applyBorder="1" applyAlignment="1">
      <alignment horizontal="right" vertical="top"/>
    </xf>
    <xf numFmtId="164" fontId="8" fillId="2" borderId="3" xfId="0" applyNumberFormat="1" applyFont="1" applyFill="1" applyBorder="1" applyAlignment="1">
      <alignment horizontal="right" vertical="top"/>
    </xf>
    <xf numFmtId="166" fontId="8" fillId="2" borderId="10" xfId="1" applyNumberFormat="1" applyFont="1" applyFill="1" applyBorder="1" applyAlignment="1">
      <alignment horizontal="right" vertical="top"/>
    </xf>
    <xf numFmtId="0" fontId="7" fillId="0" borderId="6" xfId="0" applyFont="1" applyBorder="1" applyAlignment="1">
      <alignment horizontal="left" vertical="top" indent="1"/>
    </xf>
    <xf numFmtId="9" fontId="7" fillId="0" borderId="1" xfId="0" applyNumberFormat="1" applyFont="1" applyBorder="1" applyAlignment="1">
      <alignment horizontal="right" vertical="top"/>
    </xf>
    <xf numFmtId="164" fontId="7" fillId="0" borderId="1" xfId="0" applyNumberFormat="1" applyFont="1" applyFill="1" applyBorder="1" applyAlignment="1">
      <alignment horizontal="right" vertical="top"/>
    </xf>
    <xf numFmtId="164" fontId="7" fillId="0" borderId="1" xfId="0" applyNumberFormat="1" applyFont="1" applyBorder="1" applyAlignment="1">
      <alignment horizontal="right" vertical="top"/>
    </xf>
    <xf numFmtId="166" fontId="7" fillId="0" borderId="7" xfId="1" applyNumberFormat="1" applyFont="1" applyBorder="1" applyAlignment="1">
      <alignment horizontal="right" vertical="top"/>
    </xf>
    <xf numFmtId="0" fontId="5" fillId="2" borderId="9" xfId="0" applyFont="1" applyFill="1" applyBorder="1" applyAlignment="1">
      <alignment vertical="center"/>
    </xf>
    <xf numFmtId="0" fontId="7" fillId="2" borderId="3" xfId="0" applyFont="1" applyFill="1" applyBorder="1" applyAlignment="1">
      <alignment horizontal="right" vertical="center"/>
    </xf>
    <xf numFmtId="164" fontId="5" fillId="2" borderId="3" xfId="0" applyNumberFormat="1" applyFont="1" applyFill="1" applyBorder="1" applyAlignment="1">
      <alignment horizontal="right" vertical="center"/>
    </xf>
    <xf numFmtId="166" fontId="5" fillId="2" borderId="10" xfId="1" applyNumberFormat="1" applyFont="1" applyFill="1" applyBorder="1" applyAlignment="1">
      <alignment horizontal="right" vertical="center"/>
    </xf>
    <xf numFmtId="0" fontId="6" fillId="0" borderId="5" xfId="0" applyFont="1" applyBorder="1" applyAlignment="1">
      <alignment horizontal="left" indent="1"/>
    </xf>
    <xf numFmtId="0" fontId="7" fillId="0" borderId="5" xfId="0" applyFont="1" applyFill="1" applyBorder="1" applyAlignment="1">
      <alignment horizontal="left" indent="1"/>
    </xf>
    <xf numFmtId="0" fontId="7" fillId="0" borderId="5" xfId="0" applyFont="1" applyBorder="1" applyAlignment="1">
      <alignment horizontal="left" wrapText="1" indent="1"/>
    </xf>
    <xf numFmtId="0" fontId="7" fillId="0" borderId="5" xfId="0" applyFont="1" applyBorder="1" applyAlignment="1">
      <alignment horizontal="left" indent="1"/>
    </xf>
    <xf numFmtId="0" fontId="7" fillId="0" borderId="5" xfId="0" applyFont="1" applyFill="1" applyBorder="1" applyAlignment="1">
      <alignment horizontal="left" wrapText="1" indent="1"/>
    </xf>
    <xf numFmtId="0" fontId="6" fillId="0" borderId="5" xfId="0" applyFont="1" applyFill="1" applyBorder="1" applyAlignment="1">
      <alignment horizontal="left" vertical="top" wrapText="1" indent="1"/>
    </xf>
    <xf numFmtId="0" fontId="6" fillId="0" borderId="5" xfId="0" applyFont="1" applyBorder="1" applyAlignment="1">
      <alignment horizontal="left" wrapText="1" indent="1"/>
    </xf>
    <xf numFmtId="0" fontId="7" fillId="0" borderId="1" xfId="0" applyFont="1" applyBorder="1" applyAlignment="1">
      <alignment horizontal="right" wrapText="1"/>
    </xf>
    <xf numFmtId="165" fontId="11" fillId="0" borderId="0" xfId="0" applyNumberFormat="1" applyFont="1" applyFill="1" applyBorder="1" applyAlignment="1">
      <alignment horizontal="right" vertical="top"/>
    </xf>
    <xf numFmtId="0" fontId="3" fillId="0" borderId="0" xfId="0" applyFont="1" applyAlignment="1">
      <alignment horizontal="left" vertical="top" wrapText="1"/>
    </xf>
    <xf numFmtId="0" fontId="5" fillId="0" borderId="0" xfId="0" applyFont="1" applyAlignment="1">
      <alignment horizontal="center"/>
    </xf>
    <xf numFmtId="0" fontId="7" fillId="0" borderId="0" xfId="0" applyFont="1" applyBorder="1" applyAlignment="1">
      <alignment horizontal="center"/>
    </xf>
    <xf numFmtId="0" fontId="7" fillId="0" borderId="5" xfId="0" applyFont="1" applyBorder="1" applyAlignment="1">
      <alignment horizontal="left"/>
    </xf>
    <xf numFmtId="0" fontId="7" fillId="0" borderId="6" xfId="0" applyFont="1" applyBorder="1" applyAlignment="1">
      <alignment horizontal="left"/>
    </xf>
    <xf numFmtId="0" fontId="7" fillId="0" borderId="2" xfId="0" applyFont="1" applyBorder="1" applyAlignment="1">
      <alignment horizontal="right" wrapText="1"/>
    </xf>
    <xf numFmtId="0" fontId="7" fillId="0" borderId="0" xfId="0" applyFont="1" applyBorder="1" applyAlignment="1">
      <alignment horizontal="right" wrapText="1"/>
    </xf>
    <xf numFmtId="0" fontId="7" fillId="0" borderId="1" xfId="0" applyFont="1" applyBorder="1" applyAlignment="1">
      <alignment horizontal="right" wrapText="1"/>
    </xf>
    <xf numFmtId="0" fontId="7" fillId="0" borderId="2" xfId="0" applyFont="1" applyBorder="1" applyAlignment="1">
      <alignment horizontal="center" wrapText="1"/>
    </xf>
    <xf numFmtId="0" fontId="7" fillId="0" borderId="14" xfId="0" applyFont="1" applyBorder="1" applyAlignment="1">
      <alignment horizontal="center" wrapText="1"/>
    </xf>
    <xf numFmtId="0" fontId="7" fillId="0" borderId="0" xfId="0" applyNumberFormat="1" applyFont="1" applyBorder="1" applyAlignment="1">
      <alignment horizontal="center" wrapText="1"/>
    </xf>
    <xf numFmtId="0" fontId="7" fillId="0" borderId="8" xfId="0" applyNumberFormat="1" applyFont="1" applyBorder="1" applyAlignment="1">
      <alignment horizontal="center"/>
    </xf>
  </cellXfs>
  <cellStyles count="5">
    <cellStyle name="Normal" xfId="0" builtinId="0"/>
    <cellStyle name="Normal 2" xfId="2" xr:uid="{00000000-0005-0000-0000-00002F000000}"/>
    <cellStyle name="Normal 4" xfId="3" xr:uid="{B0637CE0-BCFE-42A6-BF66-80CB012B95D0}"/>
    <cellStyle name="Percent" xfId="1" builtinId="5"/>
    <cellStyle name="Percent 3" xfId="4" xr:uid="{9384536E-759D-426A-A5F4-3D236D3C14F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E9ECA"/>
      <rgbColor rgb="0070809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showGridLines="0" tabSelected="1" zoomScaleNormal="100" workbookViewId="0">
      <selection activeCell="I16" sqref="I16"/>
    </sheetView>
  </sheetViews>
  <sheetFormatPr defaultColWidth="8.85546875" defaultRowHeight="14.25"/>
  <cols>
    <col min="1" max="1" width="61.5703125" style="2" customWidth="1"/>
    <col min="2" max="2" width="10.42578125" style="2" customWidth="1"/>
    <col min="3" max="4" width="10.85546875" style="2" customWidth="1"/>
    <col min="5" max="5" width="11.85546875" style="2" customWidth="1"/>
    <col min="6" max="7" width="12.7109375" style="2" customWidth="1"/>
    <col min="8" max="16384" width="8.85546875" style="2"/>
  </cols>
  <sheetData>
    <row r="1" spans="1:7" ht="15">
      <c r="A1" s="55" t="s">
        <v>23</v>
      </c>
      <c r="B1" s="55"/>
      <c r="C1" s="55"/>
      <c r="D1" s="55"/>
      <c r="E1" s="55"/>
      <c r="F1" s="55"/>
      <c r="G1" s="55"/>
    </row>
    <row r="2" spans="1:7" ht="15">
      <c r="A2" s="55" t="s">
        <v>24</v>
      </c>
      <c r="B2" s="55"/>
      <c r="C2" s="55"/>
      <c r="D2" s="55"/>
      <c r="E2" s="55"/>
      <c r="F2" s="55"/>
      <c r="G2" s="55"/>
    </row>
    <row r="3" spans="1:7" ht="15">
      <c r="A3" s="55" t="s">
        <v>32</v>
      </c>
      <c r="B3" s="55"/>
      <c r="C3" s="55"/>
      <c r="D3" s="55"/>
      <c r="E3" s="55"/>
      <c r="F3" s="55"/>
      <c r="G3" s="55"/>
    </row>
    <row r="4" spans="1:7" ht="15">
      <c r="A4" s="3"/>
      <c r="B4" s="3"/>
      <c r="C4" s="3"/>
      <c r="D4" s="3"/>
      <c r="E4" s="3"/>
      <c r="F4" s="3"/>
      <c r="G4" s="3"/>
    </row>
    <row r="5" spans="1:7" ht="15" thickBot="1">
      <c r="A5" s="56" t="s">
        <v>6</v>
      </c>
      <c r="B5" s="56"/>
      <c r="C5" s="56"/>
      <c r="D5" s="56"/>
      <c r="E5" s="56"/>
      <c r="F5" s="56"/>
      <c r="G5" s="56"/>
    </row>
    <row r="6" spans="1:7" ht="30" customHeight="1">
      <c r="A6" s="4"/>
      <c r="B6" s="59" t="s">
        <v>12</v>
      </c>
      <c r="C6" s="59" t="s">
        <v>33</v>
      </c>
      <c r="D6" s="59" t="s">
        <v>36</v>
      </c>
      <c r="E6" s="59" t="s">
        <v>34</v>
      </c>
      <c r="F6" s="62" t="s">
        <v>37</v>
      </c>
      <c r="G6" s="63"/>
    </row>
    <row r="7" spans="1:7" ht="14.45" customHeight="1">
      <c r="A7" s="57" t="s">
        <v>7</v>
      </c>
      <c r="B7" s="60"/>
      <c r="C7" s="60"/>
      <c r="D7" s="60"/>
      <c r="E7" s="60"/>
      <c r="F7" s="64" t="s">
        <v>35</v>
      </c>
      <c r="G7" s="65"/>
    </row>
    <row r="8" spans="1:7" ht="14.45" customHeight="1">
      <c r="A8" s="58"/>
      <c r="B8" s="61"/>
      <c r="C8" s="61"/>
      <c r="D8" s="61"/>
      <c r="E8" s="61"/>
      <c r="F8" s="52" t="s">
        <v>8</v>
      </c>
      <c r="G8" s="5" t="s">
        <v>9</v>
      </c>
    </row>
    <row r="9" spans="1:7" s="10" customFormat="1" ht="15.75" thickBot="1">
      <c r="A9" s="6" t="s">
        <v>14</v>
      </c>
      <c r="B9" s="7"/>
      <c r="C9" s="8">
        <f>SUM(C28,C41,C43)</f>
        <v>1004.0766150000001</v>
      </c>
      <c r="D9" s="8">
        <f>SUM(D28,D41,D43)</f>
        <v>0</v>
      </c>
      <c r="E9" s="8">
        <f>SUM(E28,E41,E43)</f>
        <v>836.16769999999997</v>
      </c>
      <c r="F9" s="8">
        <f>E9-C9</f>
        <v>-167.90891500000009</v>
      </c>
      <c r="G9" s="9">
        <f>IF(C9=0,"N/A",F9/C9)</f>
        <v>-0.16722719411207487</v>
      </c>
    </row>
    <row r="10" spans="1:7" s="14" customFormat="1">
      <c r="A10" s="48" t="s">
        <v>0</v>
      </c>
      <c r="B10" s="11">
        <v>1</v>
      </c>
      <c r="C10" s="12">
        <v>18</v>
      </c>
      <c r="D10" s="12">
        <v>0</v>
      </c>
      <c r="E10" s="12">
        <v>18</v>
      </c>
      <c r="F10" s="12">
        <f t="shared" ref="F10:F42" si="0">E10-C10</f>
        <v>0</v>
      </c>
      <c r="G10" s="17">
        <f t="shared" ref="G10:G42" si="1">IF(C10=0,"N/A",F10/C10)</f>
        <v>0</v>
      </c>
    </row>
    <row r="11" spans="1:7" s="14" customFormat="1" ht="14.25" customHeight="1">
      <c r="A11" s="29" t="s">
        <v>1</v>
      </c>
      <c r="B11" s="15">
        <v>1</v>
      </c>
      <c r="C11" s="16">
        <v>8.0031689999999998</v>
      </c>
      <c r="D11" s="16">
        <v>0</v>
      </c>
      <c r="E11" s="16">
        <v>7.54</v>
      </c>
      <c r="F11" s="16">
        <f t="shared" si="0"/>
        <v>-0.46316899999999972</v>
      </c>
      <c r="G11" s="17">
        <f t="shared" si="1"/>
        <v>-5.7873199978658418E-2</v>
      </c>
    </row>
    <row r="12" spans="1:7" s="14" customFormat="1">
      <c r="A12" s="29" t="s">
        <v>13</v>
      </c>
      <c r="B12" s="11">
        <v>1</v>
      </c>
      <c r="C12" s="16">
        <v>2.177311</v>
      </c>
      <c r="D12" s="16">
        <v>0</v>
      </c>
      <c r="E12" s="16">
        <v>1.76</v>
      </c>
      <c r="F12" s="18">
        <f t="shared" si="0"/>
        <v>-0.41731099999999999</v>
      </c>
      <c r="G12" s="13">
        <f t="shared" si="1"/>
        <v>-0.19166347848332185</v>
      </c>
    </row>
    <row r="13" spans="1:7" s="14" customFormat="1">
      <c r="A13" s="49" t="s">
        <v>11</v>
      </c>
      <c r="B13" s="15">
        <v>1</v>
      </c>
      <c r="C13" s="16">
        <v>3.24</v>
      </c>
      <c r="D13" s="16">
        <v>0</v>
      </c>
      <c r="E13" s="16">
        <v>2.5</v>
      </c>
      <c r="F13" s="16">
        <f t="shared" si="0"/>
        <v>-0.74000000000000021</v>
      </c>
      <c r="G13" s="17">
        <f t="shared" si="1"/>
        <v>-0.2283950617283951</v>
      </c>
    </row>
    <row r="14" spans="1:7" s="14" customFormat="1">
      <c r="A14" s="46" t="s">
        <v>2</v>
      </c>
      <c r="B14" s="15">
        <v>1</v>
      </c>
      <c r="C14" s="16">
        <v>6.56</v>
      </c>
      <c r="D14" s="16">
        <v>0</v>
      </c>
      <c r="E14" s="16">
        <v>6.58</v>
      </c>
      <c r="F14" s="16">
        <f t="shared" si="0"/>
        <v>2.0000000000000462E-2</v>
      </c>
      <c r="G14" s="17">
        <f t="shared" si="1"/>
        <v>3.0487804878049488E-3</v>
      </c>
    </row>
    <row r="15" spans="1:7" s="14" customFormat="1">
      <c r="A15" s="29" t="s">
        <v>3</v>
      </c>
      <c r="B15" s="11">
        <v>1</v>
      </c>
      <c r="C15" s="16">
        <v>0.40349299999999999</v>
      </c>
      <c r="D15" s="16">
        <v>0</v>
      </c>
      <c r="E15" s="16">
        <v>0.32</v>
      </c>
      <c r="F15" s="18">
        <f t="shared" si="0"/>
        <v>-8.3492999999999984E-2</v>
      </c>
      <c r="G15" s="13">
        <f t="shared" si="1"/>
        <v>-0.20692552287152438</v>
      </c>
    </row>
    <row r="16" spans="1:7" s="14" customFormat="1" ht="28.5">
      <c r="A16" s="49" t="s">
        <v>26</v>
      </c>
      <c r="B16" s="15">
        <v>1</v>
      </c>
      <c r="C16" s="16">
        <v>24.009604</v>
      </c>
      <c r="D16" s="16">
        <v>0</v>
      </c>
      <c r="E16" s="16">
        <v>22.63</v>
      </c>
      <c r="F16" s="16">
        <f t="shared" si="0"/>
        <v>-1.3796040000000005</v>
      </c>
      <c r="G16" s="17">
        <f t="shared" si="1"/>
        <v>-5.7460506220760682E-2</v>
      </c>
    </row>
    <row r="17" spans="1:7" s="14" customFormat="1" ht="16.5">
      <c r="A17" s="29" t="s">
        <v>38</v>
      </c>
      <c r="B17" s="11">
        <v>1</v>
      </c>
      <c r="C17" s="16">
        <v>5.7404999999999999</v>
      </c>
      <c r="D17" s="16">
        <v>0</v>
      </c>
      <c r="E17" s="16">
        <v>4</v>
      </c>
      <c r="F17" s="18">
        <f t="shared" si="0"/>
        <v>-1.7404999999999999</v>
      </c>
      <c r="G17" s="13">
        <f t="shared" si="1"/>
        <v>-0.30319658566326974</v>
      </c>
    </row>
    <row r="18" spans="1:7" s="14" customFormat="1" ht="28.5">
      <c r="A18" s="29" t="s">
        <v>27</v>
      </c>
      <c r="B18" s="11">
        <v>1</v>
      </c>
      <c r="C18" s="16">
        <v>34.919035000000001</v>
      </c>
      <c r="D18" s="16">
        <v>0</v>
      </c>
      <c r="E18" s="16">
        <v>33</v>
      </c>
      <c r="F18" s="18">
        <f t="shared" ref="F18:F19" si="2">E18-C18</f>
        <v>-1.9190350000000009</v>
      </c>
      <c r="G18" s="13">
        <f t="shared" ref="G18:G19" si="3">IF(C18=0,"N/A",F18/C18)</f>
        <v>-5.495670198217107E-2</v>
      </c>
    </row>
    <row r="19" spans="1:7" s="14" customFormat="1" ht="16.5">
      <c r="A19" s="29" t="s">
        <v>44</v>
      </c>
      <c r="B19" s="11">
        <v>1</v>
      </c>
      <c r="C19" s="16">
        <v>20.348117999999999</v>
      </c>
      <c r="D19" s="16">
        <v>0</v>
      </c>
      <c r="E19" s="16">
        <v>10</v>
      </c>
      <c r="F19" s="18">
        <f t="shared" si="2"/>
        <v>-10.348117999999999</v>
      </c>
      <c r="G19" s="13">
        <f t="shared" si="3"/>
        <v>-0.50855405890608651</v>
      </c>
    </row>
    <row r="20" spans="1:7" s="14" customFormat="1" ht="30.75">
      <c r="A20" s="50" t="s">
        <v>45</v>
      </c>
      <c r="B20" s="11">
        <v>1</v>
      </c>
      <c r="C20" s="16">
        <v>44.851885000000003</v>
      </c>
      <c r="D20" s="16">
        <v>0</v>
      </c>
      <c r="E20" s="16">
        <v>15</v>
      </c>
      <c r="F20" s="18">
        <f t="shared" ref="F20" si="4">E20-C20</f>
        <v>-29.851885000000003</v>
      </c>
      <c r="G20" s="13">
        <f t="shared" ref="G20" si="5">IF(C20=0,"N/A",F20/C20)</f>
        <v>-0.66556589539101874</v>
      </c>
    </row>
    <row r="21" spans="1:7" s="14" customFormat="1" ht="42.75">
      <c r="A21" s="29" t="s">
        <v>39</v>
      </c>
      <c r="B21" s="11">
        <v>1</v>
      </c>
      <c r="C21" s="16">
        <v>17.954481000000001</v>
      </c>
      <c r="D21" s="16">
        <v>0</v>
      </c>
      <c r="E21" s="16">
        <v>20</v>
      </c>
      <c r="F21" s="18">
        <f t="shared" ref="F21" si="6">E21-C21</f>
        <v>2.0455189999999988</v>
      </c>
      <c r="G21" s="13">
        <f t="shared" ref="G21" si="7">IF(C21=0,"N/A",F21/C21)</f>
        <v>0.11392804949360545</v>
      </c>
    </row>
    <row r="22" spans="1:7" s="14" customFormat="1">
      <c r="A22" s="29" t="s">
        <v>4</v>
      </c>
      <c r="B22" s="19">
        <v>1</v>
      </c>
      <c r="C22" s="20">
        <v>46.017088000000001</v>
      </c>
      <c r="D22" s="20">
        <v>0</v>
      </c>
      <c r="E22" s="20">
        <v>46</v>
      </c>
      <c r="F22" s="21">
        <f t="shared" si="0"/>
        <v>-1.7088000000001102E-2</v>
      </c>
      <c r="G22" s="22">
        <f t="shared" si="1"/>
        <v>-3.7134031601480526E-4</v>
      </c>
    </row>
    <row r="23" spans="1:7" s="14" customFormat="1" ht="28.5">
      <c r="A23" s="29" t="s">
        <v>28</v>
      </c>
      <c r="B23" s="19">
        <v>1</v>
      </c>
      <c r="C23" s="20">
        <v>7.8769999999999998</v>
      </c>
      <c r="D23" s="20">
        <v>0</v>
      </c>
      <c r="E23" s="20">
        <v>7</v>
      </c>
      <c r="F23" s="21">
        <f t="shared" si="0"/>
        <v>-0.87699999999999978</v>
      </c>
      <c r="G23" s="22">
        <f t="shared" si="1"/>
        <v>-0.11133680335152975</v>
      </c>
    </row>
    <row r="24" spans="1:7" s="14" customFormat="1" ht="28.5">
      <c r="A24" s="29" t="s">
        <v>29</v>
      </c>
      <c r="B24" s="23">
        <v>1</v>
      </c>
      <c r="C24" s="20">
        <v>1.108511</v>
      </c>
      <c r="D24" s="20">
        <v>0</v>
      </c>
      <c r="E24" s="20">
        <v>0</v>
      </c>
      <c r="F24" s="20">
        <f t="shared" si="0"/>
        <v>-1.108511</v>
      </c>
      <c r="G24" s="24">
        <f t="shared" si="1"/>
        <v>-1</v>
      </c>
    </row>
    <row r="25" spans="1:7" s="14" customFormat="1" ht="28.5">
      <c r="A25" s="49" t="s">
        <v>30</v>
      </c>
      <c r="B25" s="23">
        <v>1</v>
      </c>
      <c r="C25" s="20">
        <v>1.4730259999999999</v>
      </c>
      <c r="D25" s="20">
        <v>0</v>
      </c>
      <c r="E25" s="20">
        <v>1.5</v>
      </c>
      <c r="F25" s="20">
        <f t="shared" si="0"/>
        <v>2.6974000000000053E-2</v>
      </c>
      <c r="G25" s="24">
        <f t="shared" si="1"/>
        <v>1.8311964622484637E-2</v>
      </c>
    </row>
    <row r="26" spans="1:7" s="14" customFormat="1">
      <c r="A26" s="29" t="s">
        <v>25</v>
      </c>
      <c r="B26" s="23">
        <v>1</v>
      </c>
      <c r="C26" s="20">
        <v>1.5</v>
      </c>
      <c r="D26" s="20">
        <v>0</v>
      </c>
      <c r="E26" s="20">
        <v>1.5</v>
      </c>
      <c r="F26" s="20">
        <f>E26-C26</f>
        <v>0</v>
      </c>
      <c r="G26" s="22">
        <f>IF(C26=0,"N/A",F26/C26)</f>
        <v>0</v>
      </c>
    </row>
    <row r="27" spans="1:7" s="14" customFormat="1">
      <c r="A27" s="49" t="s">
        <v>5</v>
      </c>
      <c r="B27" s="23">
        <v>1</v>
      </c>
      <c r="C27" s="20">
        <v>13.997514000000001</v>
      </c>
      <c r="D27" s="20">
        <v>0</v>
      </c>
      <c r="E27" s="20">
        <v>13.2</v>
      </c>
      <c r="F27" s="20">
        <f t="shared" si="0"/>
        <v>-0.79751400000000139</v>
      </c>
      <c r="G27" s="24">
        <f t="shared" si="1"/>
        <v>-5.6975402917975392E-2</v>
      </c>
    </row>
    <row r="28" spans="1:7" ht="15.75" thickBot="1">
      <c r="A28" s="25" t="s">
        <v>15</v>
      </c>
      <c r="B28" s="26"/>
      <c r="C28" s="27">
        <f>SUM(C10:C27)</f>
        <v>258.18073500000003</v>
      </c>
      <c r="D28" s="27">
        <f>SUM(D10:D27)</f>
        <v>0</v>
      </c>
      <c r="E28" s="27">
        <f>SUM(E10:E27)</f>
        <v>210.52999999999997</v>
      </c>
      <c r="F28" s="27">
        <f>E28-C28</f>
        <v>-47.650735000000054</v>
      </c>
      <c r="G28" s="28">
        <f>IF(C28=0,"N/A",F28/C28)</f>
        <v>-0.18456348030770015</v>
      </c>
    </row>
    <row r="29" spans="1:7">
      <c r="A29" s="29" t="s">
        <v>42</v>
      </c>
      <c r="B29" s="19">
        <v>0.55000000000000004</v>
      </c>
      <c r="C29" s="30">
        <f>62.13*B29</f>
        <v>34.171500000000002</v>
      </c>
      <c r="D29" s="30">
        <v>0</v>
      </c>
      <c r="E29" s="30">
        <f>B29*58.94</f>
        <v>32.417000000000002</v>
      </c>
      <c r="F29" s="31">
        <f t="shared" si="0"/>
        <v>-1.7545000000000002</v>
      </c>
      <c r="G29" s="22">
        <f t="shared" si="1"/>
        <v>-5.1343956220827297E-2</v>
      </c>
    </row>
    <row r="30" spans="1:7" ht="16.5">
      <c r="A30" s="29" t="s">
        <v>46</v>
      </c>
      <c r="B30" s="19">
        <v>0.51200000000000001</v>
      </c>
      <c r="C30" s="53" t="s">
        <v>41</v>
      </c>
      <c r="D30" s="20">
        <v>0</v>
      </c>
      <c r="E30" s="20">
        <f>B30*20</f>
        <v>10.24</v>
      </c>
      <c r="F30" s="20">
        <f>E30-10.24</f>
        <v>0</v>
      </c>
      <c r="G30" s="24">
        <v>0</v>
      </c>
    </row>
    <row r="31" spans="1:7">
      <c r="A31" s="29" t="s">
        <v>21</v>
      </c>
      <c r="B31" s="23">
        <v>0.65900000000000003</v>
      </c>
      <c r="C31" s="20">
        <f>B31*5.41</f>
        <v>3.5651900000000003</v>
      </c>
      <c r="D31" s="20">
        <v>0</v>
      </c>
      <c r="E31" s="20">
        <f>B31*5</f>
        <v>3.2949999999999999</v>
      </c>
      <c r="F31" s="20">
        <f t="shared" si="0"/>
        <v>-0.27019000000000037</v>
      </c>
      <c r="G31" s="24">
        <f t="shared" si="1"/>
        <v>-7.5785582255083278E-2</v>
      </c>
    </row>
    <row r="32" spans="1:7">
      <c r="A32" s="29" t="s">
        <v>43</v>
      </c>
      <c r="B32" s="23">
        <v>0.61699999999999999</v>
      </c>
      <c r="C32" s="20">
        <f>B32*88.59</f>
        <v>54.660029999999999</v>
      </c>
      <c r="D32" s="20">
        <v>0</v>
      </c>
      <c r="E32" s="20">
        <f>B32*95</f>
        <v>58.615000000000002</v>
      </c>
      <c r="F32" s="20">
        <f t="shared" si="0"/>
        <v>3.954970000000003</v>
      </c>
      <c r="G32" s="24">
        <f t="shared" si="1"/>
        <v>7.2355796365278308E-2</v>
      </c>
    </row>
    <row r="33" spans="1:7">
      <c r="A33" s="45" t="s">
        <v>22</v>
      </c>
      <c r="B33" s="19">
        <v>0.64400000000000002</v>
      </c>
      <c r="C33" s="20">
        <f>B33*284.85</f>
        <v>183.44340000000003</v>
      </c>
      <c r="D33" s="20">
        <v>0</v>
      </c>
      <c r="E33" s="20">
        <f>B33*256.9</f>
        <v>165.4436</v>
      </c>
      <c r="F33" s="20">
        <f t="shared" ref="F33:F39" si="8">E33-C33</f>
        <v>-17.999800000000022</v>
      </c>
      <c r="G33" s="24">
        <f t="shared" ref="G33:G39" si="9">IF(C33=0,"N/A",F33/C33)</f>
        <v>-9.8121818500965532E-2</v>
      </c>
    </row>
    <row r="34" spans="1:7">
      <c r="A34" s="45" t="s">
        <v>20</v>
      </c>
      <c r="B34" s="19">
        <v>0.61099999999999999</v>
      </c>
      <c r="C34" s="20">
        <f>B34*99.12</f>
        <v>60.56232</v>
      </c>
      <c r="D34" s="20">
        <v>0</v>
      </c>
      <c r="E34" s="20">
        <f>B34*93.13</f>
        <v>56.902429999999995</v>
      </c>
      <c r="F34" s="20">
        <f t="shared" si="8"/>
        <v>-3.6598900000000043</v>
      </c>
      <c r="G34" s="24">
        <f t="shared" si="9"/>
        <v>-6.0431799838579568E-2</v>
      </c>
    </row>
    <row r="35" spans="1:7" ht="30.75">
      <c r="A35" s="51" t="s">
        <v>47</v>
      </c>
      <c r="B35" s="19">
        <v>0.59</v>
      </c>
      <c r="C35" s="20">
        <f>B35*35.87</f>
        <v>21.163299999999996</v>
      </c>
      <c r="D35" s="20">
        <v>0</v>
      </c>
      <c r="E35" s="20">
        <f>B35*30</f>
        <v>17.7</v>
      </c>
      <c r="F35" s="20">
        <f t="shared" ref="F35" si="10">E35-C35</f>
        <v>-3.4632999999999967</v>
      </c>
      <c r="G35" s="24">
        <f t="shared" ref="G35" si="11">IF(C35=0,"N/A",F35/C35)</f>
        <v>-0.16364650125453012</v>
      </c>
    </row>
    <row r="36" spans="1:7">
      <c r="A36" s="45" t="s">
        <v>19</v>
      </c>
      <c r="B36" s="19">
        <v>0.50900000000000001</v>
      </c>
      <c r="C36" s="20">
        <f>B36*11.47</f>
        <v>5.8382300000000003</v>
      </c>
      <c r="D36" s="20">
        <v>0</v>
      </c>
      <c r="E36" s="20">
        <f>B36*13</f>
        <v>6.617</v>
      </c>
      <c r="F36" s="20">
        <f t="shared" si="8"/>
        <v>0.77876999999999974</v>
      </c>
      <c r="G36" s="24">
        <f t="shared" si="9"/>
        <v>0.13339145597210109</v>
      </c>
    </row>
    <row r="37" spans="1:7" ht="16.5">
      <c r="A37" s="47" t="s">
        <v>48</v>
      </c>
      <c r="B37" s="19">
        <v>0.56999999999999995</v>
      </c>
      <c r="C37" s="20">
        <f>B37*156.39</f>
        <v>89.142299999999992</v>
      </c>
      <c r="D37" s="20">
        <v>0</v>
      </c>
      <c r="E37" s="20">
        <f>B37*90</f>
        <v>51.3</v>
      </c>
      <c r="F37" s="20">
        <f>E37-C37</f>
        <v>-37.842299999999994</v>
      </c>
      <c r="G37" s="24">
        <f>IF(C37=0,"N/A",F37/C37)</f>
        <v>-0.4245156339919432</v>
      </c>
    </row>
    <row r="38" spans="1:7" ht="28.5">
      <c r="A38" s="47" t="s">
        <v>31</v>
      </c>
      <c r="B38" s="19">
        <v>0.59099999999999997</v>
      </c>
      <c r="C38" s="20">
        <f>B38*87.49</f>
        <v>51.706589999999991</v>
      </c>
      <c r="D38" s="20">
        <v>0</v>
      </c>
      <c r="E38" s="20">
        <f>B38*76.37</f>
        <v>45.13467</v>
      </c>
      <c r="F38" s="20">
        <f>E38-C38</f>
        <v>-6.5719199999999915</v>
      </c>
      <c r="G38" s="24">
        <f>IF(C38=0,"N/A",F38/C38)</f>
        <v>-0.12710024002743156</v>
      </c>
    </row>
    <row r="39" spans="1:7">
      <c r="A39" s="46" t="s">
        <v>18</v>
      </c>
      <c r="B39" s="23">
        <v>0.56899999999999995</v>
      </c>
      <c r="C39" s="20">
        <f>B39*64.5</f>
        <v>36.700499999999998</v>
      </c>
      <c r="D39" s="20">
        <v>0</v>
      </c>
      <c r="E39" s="20">
        <f>B39*47</f>
        <v>26.742999999999999</v>
      </c>
      <c r="F39" s="20">
        <f t="shared" si="8"/>
        <v>-9.9574999999999996</v>
      </c>
      <c r="G39" s="24">
        <f t="shared" si="9"/>
        <v>-0.27131782945736432</v>
      </c>
    </row>
    <row r="40" spans="1:7" ht="16.5">
      <c r="A40" s="29" t="s">
        <v>49</v>
      </c>
      <c r="B40" s="23">
        <v>0.53369999999999995</v>
      </c>
      <c r="C40" s="20">
        <f>B40*64.37</f>
        <v>34.354269000000002</v>
      </c>
      <c r="D40" s="20">
        <v>0</v>
      </c>
      <c r="E40" s="20">
        <f>B40*0</f>
        <v>0</v>
      </c>
      <c r="F40" s="21">
        <f t="shared" si="0"/>
        <v>-34.354269000000002</v>
      </c>
      <c r="G40" s="22">
        <f t="shared" si="1"/>
        <v>-1</v>
      </c>
    </row>
    <row r="41" spans="1:7" ht="15.75" thickBot="1">
      <c r="A41" s="32" t="s">
        <v>16</v>
      </c>
      <c r="B41" s="33"/>
      <c r="C41" s="34">
        <f>SUM(C29:C40)</f>
        <v>575.30762900000002</v>
      </c>
      <c r="D41" s="34">
        <f>SUM(D29:D40)</f>
        <v>0</v>
      </c>
      <c r="E41" s="34">
        <f>SUM(E29:E40)</f>
        <v>474.40770000000003</v>
      </c>
      <c r="F41" s="34">
        <f>E41-C41</f>
        <v>-100.89992899999999</v>
      </c>
      <c r="G41" s="35">
        <f>IF(C41=0,"N/A",F41/C41)</f>
        <v>-0.17538430556776083</v>
      </c>
    </row>
    <row r="42" spans="1:7">
      <c r="A42" s="36" t="s">
        <v>10</v>
      </c>
      <c r="B42" s="37">
        <v>1</v>
      </c>
      <c r="C42" s="38">
        <v>170.58825100000001</v>
      </c>
      <c r="D42" s="38">
        <v>0</v>
      </c>
      <c r="E42" s="38">
        <v>151.22999999999999</v>
      </c>
      <c r="F42" s="39">
        <f t="shared" si="0"/>
        <v>-19.358251000000024</v>
      </c>
      <c r="G42" s="40">
        <f t="shared" si="1"/>
        <v>-0.11347939196586301</v>
      </c>
    </row>
    <row r="43" spans="1:7" s="10" customFormat="1" ht="15.75" thickBot="1">
      <c r="A43" s="41" t="s">
        <v>17</v>
      </c>
      <c r="B43" s="42"/>
      <c r="C43" s="43">
        <f>SUM(C42)</f>
        <v>170.58825100000001</v>
      </c>
      <c r="D43" s="43">
        <f>SUM(D42)</f>
        <v>0</v>
      </c>
      <c r="E43" s="43">
        <f>SUM(E42)</f>
        <v>151.22999999999999</v>
      </c>
      <c r="F43" s="43">
        <f>E43-C43</f>
        <v>-19.358251000000024</v>
      </c>
      <c r="G43" s="44">
        <f>IF(C43=0,"N/A",F43/C43)</f>
        <v>-0.11347939196586301</v>
      </c>
    </row>
    <row r="44" spans="1:7" s="1" customFormat="1" ht="25.5" customHeight="1">
      <c r="A44" s="54" t="s">
        <v>40</v>
      </c>
      <c r="B44" s="54"/>
      <c r="C44" s="54"/>
      <c r="D44" s="54"/>
      <c r="E44" s="54"/>
      <c r="F44" s="54"/>
      <c r="G44" s="54"/>
    </row>
    <row r="45" spans="1:7" s="1" customFormat="1" ht="25.5" customHeight="1">
      <c r="A45" s="54" t="s">
        <v>53</v>
      </c>
      <c r="B45" s="54"/>
      <c r="C45" s="54"/>
      <c r="D45" s="54"/>
      <c r="E45" s="54"/>
      <c r="F45" s="54"/>
      <c r="G45" s="54"/>
    </row>
    <row r="46" spans="1:7" s="1" customFormat="1" ht="25.5" customHeight="1">
      <c r="A46" s="54" t="s">
        <v>50</v>
      </c>
      <c r="B46" s="54"/>
      <c r="C46" s="54"/>
      <c r="D46" s="54"/>
      <c r="E46" s="54"/>
      <c r="F46" s="54"/>
      <c r="G46" s="54"/>
    </row>
    <row r="47" spans="1:7" s="1" customFormat="1" ht="39" customHeight="1">
      <c r="A47" s="54" t="s">
        <v>51</v>
      </c>
      <c r="B47" s="54"/>
      <c r="C47" s="54"/>
      <c r="D47" s="54"/>
      <c r="E47" s="54"/>
      <c r="F47" s="54"/>
      <c r="G47" s="54"/>
    </row>
    <row r="48" spans="1:7" s="1" customFormat="1" ht="12">
      <c r="A48" s="54" t="s">
        <v>52</v>
      </c>
      <c r="B48" s="54"/>
      <c r="C48" s="54"/>
      <c r="D48" s="54"/>
      <c r="E48" s="54"/>
      <c r="F48" s="54"/>
      <c r="G48" s="54"/>
    </row>
  </sheetData>
  <mergeCells count="16">
    <mergeCell ref="A47:G47"/>
    <mergeCell ref="A48:G48"/>
    <mergeCell ref="A1:G1"/>
    <mergeCell ref="A2:G2"/>
    <mergeCell ref="A3:G3"/>
    <mergeCell ref="A5:G5"/>
    <mergeCell ref="A7:A8"/>
    <mergeCell ref="E6:E8"/>
    <mergeCell ref="D6:D8"/>
    <mergeCell ref="C6:C8"/>
    <mergeCell ref="F6:G6"/>
    <mergeCell ref="F7:G7"/>
    <mergeCell ref="B6:B8"/>
    <mergeCell ref="A44:G44"/>
    <mergeCell ref="A46:G46"/>
    <mergeCell ref="A45:G45"/>
  </mergeCells>
  <printOptions horizontalCentered="1"/>
  <pageMargins left="0.5" right="0.5" top="0.5" bottom="0.5" header="0.3" footer="0.3"/>
  <pageSetup scale="74" orientation="portrait" r:id="rId1"/>
  <ignoredErrors>
    <ignoredError sqref="F30:G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NSF BP Summary Table</vt:lpstr>
      <vt:lpstr>'NSF BP Summary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2013-08-30T21:47:55Z</dcterms:created>
  <dcterms:modified xsi:type="dcterms:W3CDTF">2019-03-15T23:14:51Z</dcterms:modified>
</cp:coreProperties>
</file>