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P:\2022_Budget Cycle\FY_2022_Congressional Request\Production\PDF Production\Extracted Excel Files\"/>
    </mc:Choice>
  </mc:AlternateContent>
  <xr:revisionPtr revIDLastSave="0" documentId="13_ncr:1_{6F065564-5597-47C5-9D08-17BE51B52A62}" xr6:coauthVersionLast="46" xr6:coauthVersionMax="46" xr10:uidLastSave="{00000000-0000-0000-0000-000000000000}"/>
  <bookViews>
    <workbookView xWindow="-110" yWindow="-110" windowWidth="19420" windowHeight="10420" xr2:uid="{7DF9E2B4-A49B-4286-BA7F-BEE40B7C845B}"/>
  </bookViews>
  <sheets>
    <sheet name="FY22 NSF BP"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9" i="1" l="1"/>
  <c r="F49" i="1" s="1"/>
  <c r="G49" i="1" s="1"/>
  <c r="D49" i="1"/>
  <c r="C49" i="1"/>
  <c r="E48" i="1"/>
  <c r="D48" i="1"/>
  <c r="C48" i="1"/>
  <c r="E47" i="1"/>
  <c r="D47" i="1"/>
  <c r="C47" i="1"/>
  <c r="E46" i="1"/>
  <c r="D46" i="1"/>
  <c r="C46" i="1"/>
  <c r="E45" i="1"/>
  <c r="F45" i="1" s="1"/>
  <c r="G45" i="1" s="1"/>
  <c r="D45" i="1"/>
  <c r="C45" i="1"/>
  <c r="E44" i="1"/>
  <c r="F44" i="1" s="1"/>
  <c r="G44" i="1" s="1"/>
  <c r="D44" i="1"/>
  <c r="C44" i="1"/>
  <c r="E43" i="1"/>
  <c r="D43" i="1"/>
  <c r="C43" i="1"/>
  <c r="E42" i="1"/>
  <c r="D42" i="1"/>
  <c r="C42" i="1"/>
  <c r="E41" i="1"/>
  <c r="F41" i="1" s="1"/>
  <c r="G41" i="1" s="1"/>
  <c r="D41" i="1"/>
  <c r="C41" i="1"/>
  <c r="E40" i="1"/>
  <c r="D40" i="1"/>
  <c r="C40" i="1"/>
  <c r="E39" i="1"/>
  <c r="D39" i="1"/>
  <c r="C39" i="1"/>
  <c r="E38" i="1"/>
  <c r="D38" i="1"/>
  <c r="C38" i="1"/>
  <c r="F36" i="1"/>
  <c r="G36" i="1" s="1"/>
  <c r="E36" i="1"/>
  <c r="D36" i="1"/>
  <c r="C36" i="1"/>
  <c r="G35" i="1"/>
  <c r="F35" i="1"/>
  <c r="E33" i="1"/>
  <c r="D33" i="1"/>
  <c r="C33" i="1"/>
  <c r="F32" i="1"/>
  <c r="G32" i="1" s="1"/>
  <c r="F31" i="1"/>
  <c r="G31" i="1" s="1"/>
  <c r="F30" i="1"/>
  <c r="G30" i="1" s="1"/>
  <c r="G29" i="1"/>
  <c r="F29" i="1"/>
  <c r="G28" i="1"/>
  <c r="F28" i="1"/>
  <c r="G27" i="1"/>
  <c r="F27" i="1"/>
  <c r="F26" i="1"/>
  <c r="G26" i="1" s="1"/>
  <c r="F25" i="1"/>
  <c r="G25" i="1" s="1"/>
  <c r="F24" i="1"/>
  <c r="G24" i="1" s="1"/>
  <c r="F23" i="1"/>
  <c r="G23" i="1" s="1"/>
  <c r="F22" i="1"/>
  <c r="G22" i="1" s="1"/>
  <c r="F21" i="1"/>
  <c r="G21" i="1" s="1"/>
  <c r="F20" i="1"/>
  <c r="G20" i="1" s="1"/>
  <c r="F19" i="1"/>
  <c r="G19" i="1" s="1"/>
  <c r="F18" i="1"/>
  <c r="G18" i="1" s="1"/>
  <c r="F17" i="1"/>
  <c r="G17" i="1" s="1"/>
  <c r="G16" i="1"/>
  <c r="F16" i="1"/>
  <c r="F15" i="1"/>
  <c r="G15" i="1" s="1"/>
  <c r="F14" i="1"/>
  <c r="G14" i="1" s="1"/>
  <c r="F13" i="1"/>
  <c r="G13" i="1" s="1"/>
  <c r="F12" i="1"/>
  <c r="G12" i="1" s="1"/>
  <c r="F11" i="1"/>
  <c r="G11" i="1" s="1"/>
  <c r="F10" i="1"/>
  <c r="G10" i="1" s="1"/>
  <c r="G9" i="1"/>
  <c r="F9" i="1"/>
  <c r="F8" i="1"/>
  <c r="G8" i="1" s="1"/>
  <c r="F39" i="1" l="1"/>
  <c r="F47" i="1"/>
  <c r="F42" i="1"/>
  <c r="C50" i="1"/>
  <c r="C51" i="1" s="1"/>
  <c r="G39" i="1"/>
  <c r="F40" i="1"/>
  <c r="G40" i="1" s="1"/>
  <c r="F46" i="1"/>
  <c r="G46" i="1" s="1"/>
  <c r="D50" i="1"/>
  <c r="F38" i="1"/>
  <c r="G38" i="1" s="1"/>
  <c r="F43" i="1"/>
  <c r="F48" i="1"/>
  <c r="G48" i="1" s="1"/>
  <c r="G43" i="1"/>
  <c r="G42" i="1"/>
  <c r="G47" i="1"/>
  <c r="E50" i="1"/>
  <c r="D51" i="1"/>
  <c r="F33" i="1"/>
  <c r="G33" i="1" s="1"/>
  <c r="F50" i="1" l="1"/>
  <c r="G50" i="1" s="1"/>
  <c r="E51" i="1"/>
  <c r="F51" i="1" s="1"/>
  <c r="G51" i="1" s="1"/>
</calcChain>
</file>

<file path=xl/sharedStrings.xml><?xml version="1.0" encoding="utf-8"?>
<sst xmlns="http://schemas.openxmlformats.org/spreadsheetml/2006/main" count="59" uniqueCount="59">
  <si>
    <t>Amount</t>
  </si>
  <si>
    <t>Percent</t>
  </si>
  <si>
    <t>Advancing Informal STEM Learning (AISL)</t>
  </si>
  <si>
    <t>Disability and Rehabilitation Engineering (DARE)</t>
  </si>
  <si>
    <t>Discovery Research PreK-12 (DRK-12)</t>
  </si>
  <si>
    <t>Graduate Research Fellowship Program (GRFP)</t>
  </si>
  <si>
    <t>Improving Undergraduate STEM Education (IUSE)</t>
  </si>
  <si>
    <t>International Research Experiences for Students (IRES)</t>
  </si>
  <si>
    <t>Robert Noyce Teacher Scholarship Program (NOYCE)</t>
  </si>
  <si>
    <t>Subtotal, Emphasis Programs</t>
  </si>
  <si>
    <t>NATIONAL SCIENCE FOUNDATION</t>
  </si>
  <si>
    <t>PROGRAMS TO BROADEN PARTICIPATION</t>
  </si>
  <si>
    <t>FY 2022 BUDGET REQUEST TO CONGRESS</t>
  </si>
  <si>
    <t>Amount of Funding Captured</t>
  </si>
  <si>
    <t>FY 2020
Actual</t>
  </si>
  <si>
    <t>FY 2021
Estimate</t>
  </si>
  <si>
    <t>FY 2022
Request</t>
  </si>
  <si>
    <t xml:space="preserve"> Change over
FY 2021 Estimate</t>
  </si>
  <si>
    <t>Focused Programs</t>
  </si>
  <si>
    <t>ADVANCE</t>
  </si>
  <si>
    <t>Alliances for Graduate Education &amp; the Professoriate (AGEP)</t>
  </si>
  <si>
    <t>AGEP Graduate Research Supplements (AGEP-GRS)</t>
  </si>
  <si>
    <t>Broadening Participation in Biology Fellowships</t>
  </si>
  <si>
    <t>Broadening Participation in Engineering (BPE)</t>
  </si>
  <si>
    <r>
      <t>Career-Life Balance (CLB)</t>
    </r>
    <r>
      <rPr>
        <vertAlign val="superscript"/>
        <sz val="10"/>
        <rFont val="Arial"/>
        <family val="2"/>
      </rPr>
      <t>1</t>
    </r>
  </si>
  <si>
    <t>CISE Education and Workforce</t>
  </si>
  <si>
    <t>CISE-MSI Research Expansion Program</t>
  </si>
  <si>
    <r>
      <t>Excellence Awards in Science &amp; Engineering (EASE)</t>
    </r>
    <r>
      <rPr>
        <vertAlign val="superscript"/>
        <sz val="10"/>
        <rFont val="Arial"/>
        <family val="2"/>
      </rPr>
      <t>2</t>
    </r>
  </si>
  <si>
    <t>HBCU Excellence in Research (HBCU-EiR)</t>
  </si>
  <si>
    <t>Louis Stokes Alliances for Minority Participation (LSAMP)</t>
  </si>
  <si>
    <r>
      <t>NSF Scholarships in STEM (S-STEM)</t>
    </r>
    <r>
      <rPr>
        <vertAlign val="superscript"/>
        <sz val="10"/>
        <rFont val="Arial"/>
        <family val="2"/>
      </rPr>
      <t>3</t>
    </r>
  </si>
  <si>
    <t>Partnerships for Research &amp; Education in Materials (PREM)</t>
  </si>
  <si>
    <t>Partnerships in Astronomy &amp; Astrophysics Res. Ed. (PAARE)</t>
  </si>
  <si>
    <t>SBE Build and Broaden</t>
  </si>
  <si>
    <t>Science of Broadening Participation</t>
  </si>
  <si>
    <t xml:space="preserve">Subtotal, Focused Programs </t>
  </si>
  <si>
    <t>Geographic Diversity Programs</t>
  </si>
  <si>
    <t>EPSCoR</t>
  </si>
  <si>
    <t xml:space="preserve">Subtotal, Geographic Diversity Programs </t>
  </si>
  <si>
    <t>Emphasis Programs</t>
  </si>
  <si>
    <t>Computer Science for All (CSforAll)</t>
  </si>
  <si>
    <t>CyberTraining</t>
  </si>
  <si>
    <t>EHR Core Research</t>
  </si>
  <si>
    <t>Total, Broadening Participation Programs</t>
  </si>
  <si>
    <r>
      <rPr>
        <vertAlign val="superscript"/>
        <sz val="9"/>
        <color theme="1"/>
        <rFont val="Arial"/>
        <family val="2"/>
      </rPr>
      <t>1</t>
    </r>
    <r>
      <rPr>
        <sz val="9"/>
        <color theme="1"/>
        <rFont val="Arial"/>
        <family val="2"/>
      </rPr>
      <t xml:space="preserve"> NSF continues to support the Career-Life Balance (CLB) Initiative through supplemental funding to active NSF awards. In general, CLB funding will be reported annually as part of NSF’s actual obligations.</t>
    </r>
  </si>
  <si>
    <r>
      <rPr>
        <vertAlign val="superscript"/>
        <sz val="9"/>
        <color theme="1"/>
        <rFont val="Arial"/>
        <family val="2"/>
      </rPr>
      <t>2</t>
    </r>
    <r>
      <rPr>
        <sz val="9"/>
        <color theme="1"/>
        <rFont val="Arial"/>
        <family val="2"/>
      </rPr>
      <t xml:space="preserve"> The Excellence Awards in Science and Engineering (EASE) program is comprised of both Presidential Awards for Excellence in Science, Math and Engineering Mentoring (PAESMEM) and Presidential Awards for Excellence in Mathematics and Science Teaching (PAEMST).</t>
    </r>
  </si>
  <si>
    <t>(Dollars in Millions)</t>
  </si>
  <si>
    <r>
      <rPr>
        <vertAlign val="superscript"/>
        <sz val="9"/>
        <color theme="1"/>
        <rFont val="Arial"/>
        <family val="2"/>
      </rPr>
      <t>3</t>
    </r>
    <r>
      <rPr>
        <sz val="9"/>
        <color theme="1"/>
        <rFont val="Arial"/>
        <family val="2"/>
      </rPr>
      <t xml:space="preserve"> NSF Scholarships in Science, Technology, Engineering, and Mathematics (S-STEM) and Innovative Technology Experiences for Students and Teachers (ITEST) are H1B Visa funded programs.</t>
    </r>
  </si>
  <si>
    <t>Tribal Colleges &amp; Universities Program (TCUP)</t>
  </si>
  <si>
    <t>Inclusion across the Nation of Communities of Learners of
   Underrepresented Discoverers in Engineering and  Science
   (NSF INCLUDES)</t>
  </si>
  <si>
    <t>Mathematical and Physical Sciences Ascending Postdoctoral
   Research Fellowships  (MPS-Ascend)</t>
  </si>
  <si>
    <t>Centers of Research Excellence in Science &amp; Technology
   (CREST)</t>
  </si>
  <si>
    <t>Improving Undergraduate STEM Education (IUSE): Hispanic
   Serving Institutions (HSI) program</t>
  </si>
  <si>
    <t>SBE Postdoctoral Research Fellowships-Broadening
   Participation (SPRF-BP)</t>
  </si>
  <si>
    <r>
      <t>Innovative Technology Experiences for Students and
   Teachers (ITEST)</t>
    </r>
    <r>
      <rPr>
        <vertAlign val="superscript"/>
        <sz val="10"/>
        <rFont val="Arial"/>
        <family val="2"/>
      </rPr>
      <t>3</t>
    </r>
  </si>
  <si>
    <t>Research Experiences for Teachers (RET) Sites in
   Engineering and Computer Science</t>
  </si>
  <si>
    <t>Research Experiences for Undergraduates (REU) - Sites
   and Supplements</t>
  </si>
  <si>
    <t>Historically Black Colleges &amp; Universities Undergraduate
   Program (HBCU-UP)</t>
  </si>
  <si>
    <t>Coastlines and People (CoPe)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</si>
</sst>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quot;$&quot;#,##0.00;&quot;-&quot;??"/>
    <numFmt numFmtId="165" formatCode="0.0%;\-0.0%;&quot;-&quot;??"/>
    <numFmt numFmtId="166" formatCode="#,##0.00;\-#,##0.00;&quot;-&quot;??"/>
    <numFmt numFmtId="167" formatCode="&quot;$&quot;#,##0.00"/>
  </numFmts>
  <fonts count="13"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9"/>
      <color theme="1"/>
      <name val="Arial"/>
      <family val="2"/>
    </font>
    <font>
      <vertAlign val="superscript"/>
      <sz val="9"/>
      <color theme="1"/>
      <name val="Arial"/>
      <family val="2"/>
    </font>
    <font>
      <sz val="10"/>
      <color theme="1"/>
      <name val="Arial"/>
      <family val="2"/>
    </font>
    <font>
      <sz val="10"/>
      <name val="Arial"/>
      <family val="2"/>
    </font>
    <font>
      <sz val="10"/>
      <color theme="1"/>
      <name val="Calibri"/>
      <family val="2"/>
      <scheme val="minor"/>
    </font>
    <font>
      <b/>
      <sz val="10"/>
      <color theme="1"/>
      <name val="Arial"/>
      <family val="2"/>
    </font>
    <font>
      <sz val="10"/>
      <color rgb="FFFF0000"/>
      <name val="Arial"/>
      <family val="2"/>
    </font>
    <font>
      <vertAlign val="superscript"/>
      <sz val="10"/>
      <name val="Arial"/>
      <family val="2"/>
    </font>
    <font>
      <b/>
      <sz val="10"/>
      <name val="Arial"/>
      <family val="2"/>
    </font>
  </fonts>
  <fills count="4">
    <fill>
      <patternFill patternType="none"/>
    </fill>
    <fill>
      <patternFill patternType="gray125"/>
    </fill>
    <fill>
      <patternFill patternType="solid">
        <fgColor theme="2" tint="-9.9978637043366805E-2"/>
        <bgColor indexed="64"/>
      </patternFill>
    </fill>
    <fill>
      <patternFill patternType="solid">
        <fgColor theme="2" tint="-0.499984740745262"/>
        <bgColor indexed="64"/>
      </patternFill>
    </fill>
  </fills>
  <borders count="15">
    <border>
      <left/>
      <right/>
      <top/>
      <bottom/>
      <diagonal/>
    </border>
    <border>
      <left style="medium">
        <color indexed="64"/>
      </left>
      <right/>
      <top style="medium">
        <color indexed="64"/>
      </top>
      <bottom/>
      <diagonal/>
    </border>
    <border>
      <left/>
      <right/>
      <top style="medium">
        <color auto="1"/>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style="medium">
        <color indexed="64"/>
      </bottom>
      <diagonal/>
    </border>
    <border>
      <left/>
      <right/>
      <top/>
      <bottom style="medium">
        <color indexed="64"/>
      </bottom>
      <diagonal/>
    </border>
    <border>
      <left/>
      <right/>
      <top style="medium">
        <color auto="1"/>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62">
    <xf numFmtId="0" fontId="0" fillId="0" borderId="0" xfId="0"/>
    <xf numFmtId="0" fontId="2" fillId="0" borderId="0" xfId="0" applyFont="1" applyAlignment="1">
      <alignment horizontal="center"/>
    </xf>
    <xf numFmtId="0" fontId="7" fillId="0" borderId="0" xfId="0" applyFont="1"/>
    <xf numFmtId="0" fontId="8" fillId="0" borderId="1" xfId="0" applyFont="1" applyBorder="1" applyAlignment="1">
      <alignment horizontal="center"/>
    </xf>
    <xf numFmtId="165" fontId="6" fillId="0" borderId="7" xfId="1" applyNumberFormat="1" applyFont="1" applyBorder="1" applyAlignment="1">
      <alignment horizontal="right" vertical="top"/>
    </xf>
    <xf numFmtId="0" fontId="7" fillId="0" borderId="0" xfId="0" applyFont="1" applyAlignment="1">
      <alignment vertical="top"/>
    </xf>
    <xf numFmtId="166" fontId="6" fillId="0" borderId="0" xfId="0" applyNumberFormat="1" applyFont="1" applyAlignment="1">
      <alignment horizontal="right" vertical="top"/>
    </xf>
    <xf numFmtId="165" fontId="6" fillId="0" borderId="7" xfId="1" applyNumberFormat="1" applyFont="1" applyFill="1" applyBorder="1" applyAlignment="1">
      <alignment horizontal="right" vertical="top"/>
    </xf>
    <xf numFmtId="165" fontId="7" fillId="0" borderId="7" xfId="1" applyNumberFormat="1" applyFont="1" applyBorder="1" applyAlignment="1">
      <alignment horizontal="right" vertical="top"/>
    </xf>
    <xf numFmtId="165" fontId="7" fillId="0" borderId="7" xfId="1" applyNumberFormat="1" applyFont="1" applyFill="1" applyBorder="1" applyAlignment="1">
      <alignment horizontal="right" vertical="top"/>
    </xf>
    <xf numFmtId="0" fontId="10" fillId="0" borderId="0" xfId="0" applyFont="1" applyAlignment="1">
      <alignment horizontal="left" vertical="top" wrapText="1"/>
    </xf>
    <xf numFmtId="166" fontId="6" fillId="0" borderId="0" xfId="0" applyNumberFormat="1" applyFont="1" applyBorder="1" applyAlignment="1">
      <alignment horizontal="right" vertical="top"/>
    </xf>
    <xf numFmtId="0" fontId="8" fillId="0" borderId="11" xfId="0" applyFont="1" applyBorder="1" applyAlignment="1">
      <alignment horizontal="left"/>
    </xf>
    <xf numFmtId="0" fontId="2" fillId="0" borderId="0" xfId="0" applyFont="1" applyAlignment="1">
      <alignment horizontal="center" vertical="top"/>
    </xf>
    <xf numFmtId="9" fontId="6" fillId="0" borderId="0" xfId="1" applyFont="1" applyBorder="1" applyAlignment="1">
      <alignment horizontal="center" vertical="top"/>
    </xf>
    <xf numFmtId="9" fontId="6" fillId="0" borderId="0" xfId="1" applyFont="1" applyFill="1" applyBorder="1" applyAlignment="1">
      <alignment horizontal="center" vertical="top"/>
    </xf>
    <xf numFmtId="0" fontId="7" fillId="0" borderId="0" xfId="0" applyFont="1" applyAlignment="1"/>
    <xf numFmtId="166" fontId="6" fillId="0" borderId="0" xfId="0" applyNumberFormat="1" applyFont="1" applyBorder="1" applyAlignment="1" applyProtection="1">
      <alignment horizontal="right" vertical="top"/>
      <protection locked="0"/>
    </xf>
    <xf numFmtId="0" fontId="9" fillId="0" borderId="3" xfId="0" applyFont="1" applyBorder="1" applyAlignment="1">
      <alignment horizontal="left" vertical="top"/>
    </xf>
    <xf numFmtId="0" fontId="9" fillId="0" borderId="0" xfId="0" applyFont="1" applyAlignment="1">
      <alignment horizontal="left" vertical="top"/>
    </xf>
    <xf numFmtId="0" fontId="6" fillId="0" borderId="0" xfId="0" applyFont="1" applyAlignment="1">
      <alignment horizontal="left" vertical="top" wrapText="1"/>
    </xf>
    <xf numFmtId="0" fontId="6" fillId="0" borderId="0" xfId="0" applyFont="1" applyBorder="1" applyAlignment="1">
      <alignment horizontal="left" vertical="top" wrapText="1"/>
    </xf>
    <xf numFmtId="0" fontId="6" fillId="0" borderId="7" xfId="0" applyFont="1" applyBorder="1" applyAlignment="1">
      <alignment horizontal="left" vertical="top" wrapText="1"/>
    </xf>
    <xf numFmtId="0" fontId="7" fillId="0" borderId="0" xfId="0" applyFont="1" applyAlignment="1">
      <alignment horizontal="left" vertical="top"/>
    </xf>
    <xf numFmtId="0" fontId="7" fillId="0" borderId="0" xfId="0" applyFont="1" applyAlignment="1">
      <alignment horizontal="left" vertical="top" wrapText="1"/>
    </xf>
    <xf numFmtId="0" fontId="7" fillId="0" borderId="3" xfId="0" applyFont="1" applyBorder="1" applyAlignment="1">
      <alignment horizontal="left"/>
    </xf>
    <xf numFmtId="0" fontId="7" fillId="0" borderId="0" xfId="0" applyFont="1" applyBorder="1" applyAlignment="1">
      <alignment horizontal="left"/>
    </xf>
    <xf numFmtId="0" fontId="10" fillId="0" borderId="0" xfId="0" applyFont="1" applyAlignment="1">
      <alignment horizontal="left" vertical="top" wrapText="1"/>
    </xf>
    <xf numFmtId="0" fontId="12" fillId="2" borderId="13" xfId="0" applyFont="1" applyFill="1" applyBorder="1" applyAlignment="1">
      <alignment horizontal="left" vertical="top" wrapText="1"/>
    </xf>
    <xf numFmtId="9" fontId="9" fillId="2" borderId="10" xfId="1" applyFont="1" applyFill="1" applyBorder="1" applyAlignment="1">
      <alignment horizontal="center" vertical="top"/>
    </xf>
    <xf numFmtId="165" fontId="9" fillId="2" borderId="14" xfId="1" applyNumberFormat="1" applyFont="1" applyFill="1" applyBorder="1" applyAlignment="1">
      <alignment horizontal="right" vertical="top"/>
    </xf>
    <xf numFmtId="167" fontId="9" fillId="2" borderId="10" xfId="0" applyNumberFormat="1" applyFont="1" applyFill="1" applyBorder="1" applyAlignment="1">
      <alignment horizontal="right" vertical="top"/>
    </xf>
    <xf numFmtId="0" fontId="6" fillId="0" borderId="3" xfId="0" applyFont="1" applyBorder="1" applyAlignment="1">
      <alignment horizontal="left" vertical="top" indent="1"/>
    </xf>
    <xf numFmtId="0" fontId="7" fillId="0" borderId="3" xfId="0" applyFont="1" applyBorder="1" applyAlignment="1">
      <alignment horizontal="left" vertical="top" wrapText="1" indent="1"/>
    </xf>
    <xf numFmtId="0" fontId="10" fillId="0" borderId="0" xfId="0" applyFont="1" applyAlignment="1">
      <alignment horizontal="left" vertical="top" wrapText="1"/>
    </xf>
    <xf numFmtId="9" fontId="6" fillId="0" borderId="0" xfId="1" applyNumberFormat="1" applyFont="1" applyFill="1" applyBorder="1" applyAlignment="1">
      <alignment horizontal="center" vertical="top"/>
    </xf>
    <xf numFmtId="9" fontId="7" fillId="0" borderId="0" xfId="1" applyFont="1" applyFill="1" applyBorder="1" applyAlignment="1">
      <alignment horizontal="center" vertical="top" wrapText="1"/>
    </xf>
    <xf numFmtId="0" fontId="10" fillId="0" borderId="0" xfId="0" applyFont="1" applyAlignment="1">
      <alignment vertical="top" wrapText="1"/>
    </xf>
    <xf numFmtId="2" fontId="10" fillId="0" borderId="0" xfId="0" applyNumberFormat="1" applyFont="1" applyAlignment="1">
      <alignment vertical="top" wrapText="1"/>
    </xf>
    <xf numFmtId="166" fontId="6" fillId="0" borderId="0" xfId="0" applyNumberFormat="1" applyFont="1" applyFill="1" applyAlignment="1" applyProtection="1">
      <alignment horizontal="right" vertical="top"/>
      <protection locked="0"/>
    </xf>
    <xf numFmtId="166" fontId="6" fillId="0" borderId="0" xfId="0" applyNumberFormat="1" applyFont="1" applyFill="1" applyBorder="1" applyAlignment="1" applyProtection="1">
      <alignment horizontal="right" vertical="top"/>
      <protection locked="0"/>
    </xf>
    <xf numFmtId="166" fontId="6" fillId="0" borderId="0" xfId="0" applyNumberFormat="1" applyFont="1" applyFill="1" applyAlignment="1">
      <alignment horizontal="right" vertical="top"/>
    </xf>
    <xf numFmtId="166" fontId="6" fillId="0" borderId="0" xfId="0" applyNumberFormat="1" applyFont="1" applyFill="1" applyBorder="1" applyAlignment="1">
      <alignment horizontal="right" vertical="top"/>
    </xf>
    <xf numFmtId="0" fontId="12" fillId="0" borderId="3" xfId="0" applyFont="1" applyBorder="1" applyAlignment="1">
      <alignment horizontal="left" vertical="top" wrapText="1"/>
    </xf>
    <xf numFmtId="0" fontId="9" fillId="3" borderId="4" xfId="0" applyFont="1" applyFill="1" applyBorder="1" applyAlignment="1">
      <alignment vertical="top" wrapText="1"/>
    </xf>
    <xf numFmtId="0" fontId="9" fillId="3" borderId="5" xfId="0" applyFont="1" applyFill="1" applyBorder="1" applyAlignment="1">
      <alignment vertical="top" wrapText="1"/>
    </xf>
    <xf numFmtId="164" fontId="12" fillId="3" borderId="5" xfId="0" applyNumberFormat="1" applyFont="1" applyFill="1" applyBorder="1" applyAlignment="1">
      <alignment horizontal="right" vertical="top"/>
    </xf>
    <xf numFmtId="164" fontId="12" fillId="3" borderId="10" xfId="0" applyNumberFormat="1" applyFont="1" applyFill="1" applyBorder="1" applyAlignment="1">
      <alignment horizontal="right" vertical="top"/>
    </xf>
    <xf numFmtId="165" fontId="12" fillId="3" borderId="8" xfId="1" applyNumberFormat="1" applyFont="1" applyFill="1" applyBorder="1" applyAlignment="1">
      <alignment horizontal="right" vertical="top"/>
    </xf>
    <xf numFmtId="0" fontId="9" fillId="0" borderId="9" xfId="0" applyFont="1" applyBorder="1" applyAlignment="1">
      <alignment horizontal="right" wrapText="1"/>
    </xf>
    <xf numFmtId="0" fontId="9" fillId="0" borderId="12" xfId="0" applyFont="1" applyBorder="1" applyAlignment="1">
      <alignment horizontal="right" wrapText="1"/>
    </xf>
    <xf numFmtId="0" fontId="2" fillId="0" borderId="0" xfId="0" applyFont="1" applyAlignment="1">
      <alignment horizontal="center"/>
    </xf>
    <xf numFmtId="0" fontId="2" fillId="0" borderId="0" xfId="0" applyFont="1" applyBorder="1" applyAlignment="1">
      <alignment horizontal="center"/>
    </xf>
    <xf numFmtId="0" fontId="4" fillId="0" borderId="0" xfId="0" applyFont="1" applyAlignment="1">
      <alignment horizontal="left" vertical="top" wrapText="1"/>
    </xf>
    <xf numFmtId="0" fontId="3" fillId="0" borderId="9" xfId="0" applyFont="1" applyBorder="1" applyAlignment="1">
      <alignment horizontal="center" vertical="top"/>
    </xf>
    <xf numFmtId="0" fontId="10" fillId="0" borderId="0" xfId="0" applyFont="1" applyAlignment="1">
      <alignment horizontal="left" vertical="top" wrapText="1"/>
    </xf>
    <xf numFmtId="0" fontId="9" fillId="0" borderId="2" xfId="0" applyFont="1" applyBorder="1" applyAlignment="1">
      <alignment horizontal="right" wrapText="1"/>
    </xf>
    <xf numFmtId="0" fontId="9" fillId="0" borderId="9" xfId="0" applyFont="1" applyBorder="1" applyAlignment="1">
      <alignment horizontal="right" wrapText="1"/>
    </xf>
    <xf numFmtId="0" fontId="9" fillId="0" borderId="2" xfId="0" applyFont="1" applyBorder="1" applyAlignment="1">
      <alignment horizontal="center" wrapText="1"/>
    </xf>
    <xf numFmtId="0" fontId="9" fillId="0" borderId="6" xfId="0" applyFont="1" applyBorder="1" applyAlignment="1">
      <alignment horizontal="center" wrapText="1"/>
    </xf>
    <xf numFmtId="0" fontId="7" fillId="0" borderId="0" xfId="0" applyFont="1" applyAlignment="1">
      <alignment horizontal="center" wrapText="1"/>
    </xf>
    <xf numFmtId="0" fontId="9" fillId="0" borderId="9" xfId="0" applyFont="1" applyBorder="1" applyAlignment="1">
      <alignment horizont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14913-D818-46DA-A5B0-573296FDDCEF}">
  <dimension ref="A1:M54"/>
  <sheetViews>
    <sheetView showGridLines="0" tabSelected="1" zoomScale="80" zoomScaleNormal="80" workbookViewId="0">
      <selection sqref="A1:G1"/>
    </sheetView>
  </sheetViews>
  <sheetFormatPr defaultColWidth="8.90625" defaultRowHeight="34" customHeight="1" x14ac:dyDescent="0.25"/>
  <cols>
    <col min="1" max="1" width="52.54296875" style="2" bestFit="1" customWidth="1"/>
    <col min="2" max="2" width="10.1796875" style="2" customWidth="1"/>
    <col min="3" max="5" width="9.1796875" style="2" customWidth="1"/>
    <col min="6" max="7" width="8.6328125" style="2" customWidth="1"/>
    <col min="8" max="16384" width="8.90625" style="2"/>
  </cols>
  <sheetData>
    <row r="1" spans="1:13" ht="14.5" customHeight="1" x14ac:dyDescent="0.3">
      <c r="A1" s="51" t="s">
        <v>10</v>
      </c>
      <c r="B1" s="51"/>
      <c r="C1" s="51"/>
      <c r="D1" s="51"/>
      <c r="E1" s="51"/>
      <c r="F1" s="51"/>
      <c r="G1" s="51"/>
      <c r="H1" s="1"/>
    </row>
    <row r="2" spans="1:13" ht="14.5" customHeight="1" x14ac:dyDescent="0.3">
      <c r="A2" s="51" t="s">
        <v>11</v>
      </c>
      <c r="B2" s="51"/>
      <c r="C2" s="51"/>
      <c r="D2" s="51"/>
      <c r="E2" s="51"/>
      <c r="F2" s="51"/>
      <c r="G2" s="51"/>
      <c r="H2" s="1"/>
    </row>
    <row r="3" spans="1:13" ht="14.5" customHeight="1" x14ac:dyDescent="0.3">
      <c r="A3" s="52" t="s">
        <v>12</v>
      </c>
      <c r="B3" s="52"/>
      <c r="C3" s="52"/>
      <c r="D3" s="52"/>
      <c r="E3" s="52"/>
      <c r="F3" s="52"/>
      <c r="G3" s="52"/>
      <c r="H3" s="1"/>
    </row>
    <row r="4" spans="1:13" s="5" customFormat="1" ht="14.5" customHeight="1" thickBot="1" x14ac:dyDescent="0.4">
      <c r="A4" s="54" t="s">
        <v>46</v>
      </c>
      <c r="B4" s="54"/>
      <c r="C4" s="54"/>
      <c r="D4" s="54"/>
      <c r="E4" s="54"/>
      <c r="F4" s="54"/>
      <c r="G4" s="54"/>
      <c r="H4" s="13"/>
    </row>
    <row r="5" spans="1:13" s="16" customFormat="1" ht="27" customHeight="1" x14ac:dyDescent="0.3">
      <c r="A5" s="3"/>
      <c r="B5" s="58" t="s">
        <v>13</v>
      </c>
      <c r="C5" s="56" t="s">
        <v>14</v>
      </c>
      <c r="D5" s="56" t="s">
        <v>15</v>
      </c>
      <c r="E5" s="56" t="s">
        <v>16</v>
      </c>
      <c r="F5" s="58" t="s">
        <v>17</v>
      </c>
      <c r="G5" s="59"/>
      <c r="I5" s="60"/>
      <c r="J5" s="60"/>
      <c r="K5" s="60"/>
      <c r="L5" s="60"/>
      <c r="M5" s="60"/>
    </row>
    <row r="6" spans="1:13" s="26" customFormat="1" ht="14.5" customHeight="1" thickBot="1" x14ac:dyDescent="0.35">
      <c r="A6" s="12"/>
      <c r="B6" s="61"/>
      <c r="C6" s="57"/>
      <c r="D6" s="57"/>
      <c r="E6" s="57"/>
      <c r="F6" s="49" t="s">
        <v>0</v>
      </c>
      <c r="G6" s="50" t="s">
        <v>1</v>
      </c>
      <c r="H6" s="25"/>
      <c r="I6" s="60"/>
      <c r="J6" s="60"/>
      <c r="K6" s="60"/>
      <c r="L6" s="60"/>
      <c r="M6" s="60"/>
    </row>
    <row r="7" spans="1:13" s="23" customFormat="1" ht="14.5" customHeight="1" x14ac:dyDescent="0.35">
      <c r="A7" s="18" t="s">
        <v>18</v>
      </c>
      <c r="B7" s="19"/>
      <c r="C7" s="20"/>
      <c r="D7" s="20"/>
      <c r="E7" s="21"/>
      <c r="F7" s="20"/>
      <c r="G7" s="22"/>
      <c r="I7" s="24"/>
      <c r="J7" s="24"/>
      <c r="K7" s="24"/>
      <c r="L7" s="24"/>
      <c r="M7" s="24"/>
    </row>
    <row r="8" spans="1:13" s="23" customFormat="1" ht="14.5" customHeight="1" x14ac:dyDescent="0.35">
      <c r="A8" s="32" t="s">
        <v>19</v>
      </c>
      <c r="B8" s="14">
        <v>1</v>
      </c>
      <c r="C8" s="39">
        <v>18</v>
      </c>
      <c r="D8" s="39">
        <v>18</v>
      </c>
      <c r="E8" s="40">
        <v>20.5</v>
      </c>
      <c r="F8" s="6">
        <f>E8-D8</f>
        <v>2.5</v>
      </c>
      <c r="G8" s="4">
        <f>IF(D8=0,"N/A",F8/D8)</f>
        <v>0.1388888888888889</v>
      </c>
    </row>
    <row r="9" spans="1:13" s="23" customFormat="1" ht="14.5" customHeight="1" x14ac:dyDescent="0.35">
      <c r="A9" s="33" t="s">
        <v>20</v>
      </c>
      <c r="B9" s="14">
        <v>1</v>
      </c>
      <c r="C9" s="39">
        <v>8</v>
      </c>
      <c r="D9" s="39">
        <v>8</v>
      </c>
      <c r="E9" s="40">
        <v>12</v>
      </c>
      <c r="F9" s="6">
        <f t="shared" ref="F9:F33" si="0">E9-D9</f>
        <v>4</v>
      </c>
      <c r="G9" s="7">
        <f t="shared" ref="G9:G33" si="1">IF(D9=0,"N/A",F9/D9)</f>
        <v>0.5</v>
      </c>
      <c r="H9" s="55"/>
      <c r="I9" s="55"/>
      <c r="J9" s="55"/>
      <c r="K9" s="55"/>
      <c r="L9" s="55"/>
      <c r="M9" s="55"/>
    </row>
    <row r="10" spans="1:13" s="23" customFormat="1" ht="14.5" customHeight="1" x14ac:dyDescent="0.35">
      <c r="A10" s="33" t="s">
        <v>21</v>
      </c>
      <c r="B10" s="14">
        <v>1</v>
      </c>
      <c r="C10" s="39">
        <v>3.17</v>
      </c>
      <c r="D10" s="39">
        <v>6.64</v>
      </c>
      <c r="E10" s="40">
        <v>6.64</v>
      </c>
      <c r="F10" s="6">
        <f t="shared" si="0"/>
        <v>0</v>
      </c>
      <c r="G10" s="7">
        <f t="shared" si="1"/>
        <v>0</v>
      </c>
      <c r="H10" s="10"/>
      <c r="I10" s="10"/>
      <c r="J10" s="10"/>
      <c r="K10" s="10"/>
      <c r="L10" s="10"/>
      <c r="M10" s="10"/>
    </row>
    <row r="11" spans="1:13" s="23" customFormat="1" ht="14.5" customHeight="1" x14ac:dyDescent="0.35">
      <c r="A11" s="33" t="s">
        <v>22</v>
      </c>
      <c r="B11" s="14">
        <v>1</v>
      </c>
      <c r="C11" s="39">
        <v>5</v>
      </c>
      <c r="D11" s="39">
        <v>3.5</v>
      </c>
      <c r="E11" s="40">
        <v>5</v>
      </c>
      <c r="F11" s="6">
        <f t="shared" si="0"/>
        <v>1.5</v>
      </c>
      <c r="G11" s="7">
        <f t="shared" si="1"/>
        <v>0.42857142857142855</v>
      </c>
      <c r="H11" s="10"/>
      <c r="I11" s="10"/>
      <c r="J11" s="10"/>
      <c r="K11" s="10"/>
      <c r="L11" s="10"/>
      <c r="M11" s="10"/>
    </row>
    <row r="12" spans="1:13" s="23" customFormat="1" ht="14.5" customHeight="1" x14ac:dyDescent="0.35">
      <c r="A12" s="33" t="s">
        <v>23</v>
      </c>
      <c r="B12" s="14">
        <v>1</v>
      </c>
      <c r="C12" s="39">
        <v>4.72</v>
      </c>
      <c r="D12" s="39">
        <v>7.5</v>
      </c>
      <c r="E12" s="40">
        <v>9</v>
      </c>
      <c r="F12" s="6">
        <f t="shared" si="0"/>
        <v>1.5</v>
      </c>
      <c r="G12" s="7">
        <f t="shared" si="1"/>
        <v>0.2</v>
      </c>
      <c r="H12" s="10"/>
      <c r="I12" s="10"/>
      <c r="J12" s="10"/>
      <c r="K12" s="10"/>
      <c r="L12" s="10"/>
      <c r="M12" s="10"/>
    </row>
    <row r="13" spans="1:13" s="23" customFormat="1" ht="14.5" customHeight="1" x14ac:dyDescent="0.35">
      <c r="A13" s="33" t="s">
        <v>24</v>
      </c>
      <c r="B13" s="14">
        <v>1</v>
      </c>
      <c r="C13" s="39">
        <v>0.69</v>
      </c>
      <c r="D13" s="39">
        <v>0.28000000000000003</v>
      </c>
      <c r="E13" s="40">
        <v>0.28000000000000003</v>
      </c>
      <c r="F13" s="6">
        <f t="shared" si="0"/>
        <v>0</v>
      </c>
      <c r="G13" s="7">
        <f t="shared" si="1"/>
        <v>0</v>
      </c>
      <c r="H13" s="10"/>
      <c r="I13" s="10"/>
      <c r="J13" s="10"/>
      <c r="K13" s="10"/>
      <c r="L13" s="10"/>
      <c r="M13" s="10"/>
    </row>
    <row r="14" spans="1:13" s="23" customFormat="1" ht="27" customHeight="1" x14ac:dyDescent="0.35">
      <c r="A14" s="33" t="s">
        <v>51</v>
      </c>
      <c r="B14" s="14">
        <v>1</v>
      </c>
      <c r="C14" s="39">
        <v>24</v>
      </c>
      <c r="D14" s="39">
        <v>24</v>
      </c>
      <c r="E14" s="40">
        <v>39</v>
      </c>
      <c r="F14" s="6">
        <f t="shared" si="0"/>
        <v>15</v>
      </c>
      <c r="G14" s="7">
        <f t="shared" si="1"/>
        <v>0.625</v>
      </c>
    </row>
    <row r="15" spans="1:13" s="23" customFormat="1" ht="14.5" customHeight="1" x14ac:dyDescent="0.35">
      <c r="A15" s="33" t="s">
        <v>25</v>
      </c>
      <c r="B15" s="14">
        <v>1</v>
      </c>
      <c r="C15" s="39">
        <v>11</v>
      </c>
      <c r="D15" s="39">
        <v>12.75</v>
      </c>
      <c r="E15" s="40">
        <v>12.75</v>
      </c>
      <c r="F15" s="6">
        <f t="shared" si="0"/>
        <v>0</v>
      </c>
      <c r="G15" s="7">
        <f t="shared" si="1"/>
        <v>0</v>
      </c>
    </row>
    <row r="16" spans="1:13" s="23" customFormat="1" ht="14.5" customHeight="1" x14ac:dyDescent="0.35">
      <c r="A16" s="33" t="s">
        <v>26</v>
      </c>
      <c r="B16" s="14">
        <v>1</v>
      </c>
      <c r="C16" s="39">
        <v>0</v>
      </c>
      <c r="D16" s="39">
        <v>0</v>
      </c>
      <c r="E16" s="40">
        <v>7</v>
      </c>
      <c r="F16" s="6">
        <f t="shared" si="0"/>
        <v>7</v>
      </c>
      <c r="G16" s="7" t="str">
        <f t="shared" si="1"/>
        <v>N/A</v>
      </c>
    </row>
    <row r="17" spans="1:13" s="23" customFormat="1" ht="14.5" customHeight="1" x14ac:dyDescent="0.35">
      <c r="A17" s="33" t="s">
        <v>58</v>
      </c>
      <c r="B17" s="14">
        <v>1</v>
      </c>
      <c r="C17" s="39">
        <v>4.41</v>
      </c>
      <c r="D17" s="39">
        <v>18</v>
      </c>
      <c r="E17" s="40">
        <v>28</v>
      </c>
      <c r="F17" s="6">
        <f t="shared" si="0"/>
        <v>10</v>
      </c>
      <c r="G17" s="7">
        <f t="shared" si="1"/>
        <v>0.55555555555555558</v>
      </c>
    </row>
    <row r="18" spans="1:13" s="23" customFormat="1" ht="14.5" customHeight="1" x14ac:dyDescent="0.35">
      <c r="A18" s="33" t="s">
        <v>3</v>
      </c>
      <c r="B18" s="14">
        <v>1</v>
      </c>
      <c r="C18" s="39">
        <v>5.07</v>
      </c>
      <c r="D18" s="39">
        <v>5.0999999999999996</v>
      </c>
      <c r="E18" s="40">
        <v>6</v>
      </c>
      <c r="F18" s="6">
        <f t="shared" si="0"/>
        <v>0.90000000000000036</v>
      </c>
      <c r="G18" s="7">
        <f t="shared" si="1"/>
        <v>0.17647058823529421</v>
      </c>
    </row>
    <row r="19" spans="1:13" s="23" customFormat="1" ht="14.5" customHeight="1" x14ac:dyDescent="0.35">
      <c r="A19" s="33" t="s">
        <v>27</v>
      </c>
      <c r="B19" s="14">
        <v>1</v>
      </c>
      <c r="C19" s="39">
        <v>7.33</v>
      </c>
      <c r="D19" s="39">
        <v>5</v>
      </c>
      <c r="E19" s="40">
        <v>7.64</v>
      </c>
      <c r="F19" s="6">
        <f t="shared" si="0"/>
        <v>2.6399999999999997</v>
      </c>
      <c r="G19" s="4">
        <f t="shared" si="1"/>
        <v>0.52799999999999991</v>
      </c>
    </row>
    <row r="20" spans="1:13" s="23" customFormat="1" ht="27" customHeight="1" x14ac:dyDescent="0.35">
      <c r="A20" s="33" t="s">
        <v>57</v>
      </c>
      <c r="B20" s="14">
        <v>1</v>
      </c>
      <c r="C20" s="39">
        <v>35</v>
      </c>
      <c r="D20" s="39">
        <v>36.5</v>
      </c>
      <c r="E20" s="40">
        <v>46.5</v>
      </c>
      <c r="F20" s="6">
        <f t="shared" si="0"/>
        <v>10</v>
      </c>
      <c r="G20" s="4">
        <f t="shared" si="1"/>
        <v>0.27397260273972601</v>
      </c>
    </row>
    <row r="21" spans="1:13" s="23" customFormat="1" ht="14.5" customHeight="1" x14ac:dyDescent="0.35">
      <c r="A21" s="33" t="s">
        <v>28</v>
      </c>
      <c r="B21" s="14">
        <v>1</v>
      </c>
      <c r="C21" s="39">
        <v>18.05</v>
      </c>
      <c r="D21" s="39">
        <v>20.5</v>
      </c>
      <c r="E21" s="40">
        <v>33.96</v>
      </c>
      <c r="F21" s="6">
        <f t="shared" si="0"/>
        <v>13.46</v>
      </c>
      <c r="G21" s="4">
        <f t="shared" si="1"/>
        <v>0.65658536585365856</v>
      </c>
    </row>
    <row r="22" spans="1:13" s="5" customFormat="1" ht="27" customHeight="1" x14ac:dyDescent="0.35">
      <c r="A22" s="33" t="s">
        <v>52</v>
      </c>
      <c r="B22" s="14">
        <v>1</v>
      </c>
      <c r="C22" s="39">
        <v>45</v>
      </c>
      <c r="D22" s="39">
        <v>46.5</v>
      </c>
      <c r="E22" s="40">
        <v>56.5</v>
      </c>
      <c r="F22" s="6">
        <f t="shared" si="0"/>
        <v>10</v>
      </c>
      <c r="G22" s="8">
        <f t="shared" si="1"/>
        <v>0.21505376344086022</v>
      </c>
    </row>
    <row r="23" spans="1:13" s="5" customFormat="1" ht="42" customHeight="1" x14ac:dyDescent="0.35">
      <c r="A23" s="33" t="s">
        <v>49</v>
      </c>
      <c r="B23" s="14">
        <v>1</v>
      </c>
      <c r="C23" s="39">
        <v>20.75</v>
      </c>
      <c r="D23" s="39">
        <v>20</v>
      </c>
      <c r="E23" s="40">
        <v>46.5</v>
      </c>
      <c r="F23" s="6">
        <f t="shared" si="0"/>
        <v>26.5</v>
      </c>
      <c r="G23" s="4">
        <f t="shared" si="1"/>
        <v>1.325</v>
      </c>
    </row>
    <row r="24" spans="1:13" s="23" customFormat="1" ht="14.5" customHeight="1" x14ac:dyDescent="0.35">
      <c r="A24" s="33" t="s">
        <v>29</v>
      </c>
      <c r="B24" s="14">
        <v>1</v>
      </c>
      <c r="C24" s="39">
        <v>47.49</v>
      </c>
      <c r="D24" s="39">
        <v>49.5</v>
      </c>
      <c r="E24" s="40">
        <v>69.5</v>
      </c>
      <c r="F24" s="6">
        <f t="shared" si="0"/>
        <v>20</v>
      </c>
      <c r="G24" s="4">
        <f t="shared" si="1"/>
        <v>0.40404040404040403</v>
      </c>
    </row>
    <row r="25" spans="1:13" s="5" customFormat="1" ht="27" customHeight="1" x14ac:dyDescent="0.35">
      <c r="A25" s="33" t="s">
        <v>50</v>
      </c>
      <c r="B25" s="14">
        <v>1</v>
      </c>
      <c r="C25" s="39">
        <v>0</v>
      </c>
      <c r="D25" s="39">
        <v>10</v>
      </c>
      <c r="E25" s="40">
        <v>10</v>
      </c>
      <c r="F25" s="6">
        <f t="shared" si="0"/>
        <v>0</v>
      </c>
      <c r="G25" s="8">
        <f t="shared" si="1"/>
        <v>0</v>
      </c>
    </row>
    <row r="26" spans="1:13" s="5" customFormat="1" ht="14.5" customHeight="1" x14ac:dyDescent="0.35">
      <c r="A26" s="33" t="s">
        <v>30</v>
      </c>
      <c r="B26" s="14">
        <v>1</v>
      </c>
      <c r="C26" s="41">
        <v>79.91</v>
      </c>
      <c r="D26" s="41">
        <v>132.75</v>
      </c>
      <c r="E26" s="42">
        <v>121.85</v>
      </c>
      <c r="F26" s="6">
        <f t="shared" si="0"/>
        <v>-10.900000000000006</v>
      </c>
      <c r="G26" s="7">
        <f t="shared" si="1"/>
        <v>-8.2109227871939777E-2</v>
      </c>
      <c r="H26" s="55"/>
      <c r="I26" s="55"/>
      <c r="J26" s="55"/>
      <c r="K26" s="55"/>
      <c r="L26" s="55"/>
      <c r="M26" s="55"/>
    </row>
    <row r="27" spans="1:13" s="5" customFormat="1" ht="14.5" customHeight="1" x14ac:dyDescent="0.35">
      <c r="A27" s="33" t="s">
        <v>31</v>
      </c>
      <c r="B27" s="14">
        <v>1</v>
      </c>
      <c r="C27" s="41">
        <v>6.38</v>
      </c>
      <c r="D27" s="41">
        <v>9</v>
      </c>
      <c r="E27" s="42">
        <v>9</v>
      </c>
      <c r="F27" s="6">
        <f t="shared" si="0"/>
        <v>0</v>
      </c>
      <c r="G27" s="7">
        <f t="shared" si="1"/>
        <v>0</v>
      </c>
      <c r="H27" s="10"/>
      <c r="I27" s="10"/>
      <c r="J27" s="10"/>
      <c r="K27" s="10"/>
      <c r="L27" s="10"/>
      <c r="M27" s="10"/>
    </row>
    <row r="28" spans="1:13" s="5" customFormat="1" ht="14.5" customHeight="1" x14ac:dyDescent="0.35">
      <c r="A28" s="33" t="s">
        <v>32</v>
      </c>
      <c r="B28" s="14">
        <v>1</v>
      </c>
      <c r="C28" s="41">
        <v>0</v>
      </c>
      <c r="D28" s="41">
        <v>0</v>
      </c>
      <c r="E28" s="42">
        <v>0.5</v>
      </c>
      <c r="F28" s="6">
        <f t="shared" si="0"/>
        <v>0.5</v>
      </c>
      <c r="G28" s="7" t="str">
        <f t="shared" si="1"/>
        <v>N/A</v>
      </c>
      <c r="H28" s="10"/>
      <c r="I28" s="10"/>
      <c r="J28" s="10"/>
      <c r="K28" s="10"/>
      <c r="L28" s="10"/>
      <c r="M28" s="10"/>
    </row>
    <row r="29" spans="1:13" s="5" customFormat="1" ht="14.5" customHeight="1" x14ac:dyDescent="0.35">
      <c r="A29" s="33" t="s">
        <v>33</v>
      </c>
      <c r="B29" s="14">
        <v>1</v>
      </c>
      <c r="C29" s="41">
        <v>1.37</v>
      </c>
      <c r="D29" s="41">
        <v>8</v>
      </c>
      <c r="E29" s="42">
        <v>8</v>
      </c>
      <c r="F29" s="6">
        <f t="shared" si="0"/>
        <v>0</v>
      </c>
      <c r="G29" s="7">
        <f t="shared" si="1"/>
        <v>0</v>
      </c>
      <c r="H29" s="10"/>
      <c r="I29" s="10"/>
      <c r="J29" s="10"/>
      <c r="K29" s="10"/>
      <c r="L29" s="10"/>
      <c r="M29" s="10"/>
    </row>
    <row r="30" spans="1:13" s="5" customFormat="1" ht="27" customHeight="1" x14ac:dyDescent="0.35">
      <c r="A30" s="33" t="s">
        <v>53</v>
      </c>
      <c r="B30" s="15">
        <v>1</v>
      </c>
      <c r="C30" s="41">
        <v>1.49</v>
      </c>
      <c r="D30" s="41">
        <v>3</v>
      </c>
      <c r="E30" s="42">
        <v>3</v>
      </c>
      <c r="F30" s="6">
        <f t="shared" si="0"/>
        <v>0</v>
      </c>
      <c r="G30" s="7">
        <f t="shared" si="1"/>
        <v>0</v>
      </c>
      <c r="H30" s="10"/>
      <c r="I30" s="10"/>
      <c r="J30" s="10"/>
      <c r="K30" s="10"/>
      <c r="L30" s="10"/>
      <c r="M30" s="10"/>
    </row>
    <row r="31" spans="1:13" s="5" customFormat="1" ht="14.5" customHeight="1" x14ac:dyDescent="0.35">
      <c r="A31" s="33" t="s">
        <v>34</v>
      </c>
      <c r="B31" s="14">
        <v>1</v>
      </c>
      <c r="C31" s="41">
        <v>1.73</v>
      </c>
      <c r="D31" s="41">
        <v>1.5</v>
      </c>
      <c r="E31" s="42">
        <v>1.5</v>
      </c>
      <c r="F31" s="6">
        <f t="shared" si="0"/>
        <v>0</v>
      </c>
      <c r="G31" s="7">
        <f t="shared" si="1"/>
        <v>0</v>
      </c>
      <c r="H31" s="10"/>
      <c r="I31" s="10"/>
      <c r="J31" s="10"/>
      <c r="K31" s="10"/>
      <c r="L31" s="10"/>
      <c r="M31" s="10"/>
    </row>
    <row r="32" spans="1:13" s="5" customFormat="1" ht="14.5" customHeight="1" thickBot="1" x14ac:dyDescent="0.4">
      <c r="A32" s="33" t="s">
        <v>48</v>
      </c>
      <c r="B32" s="14">
        <v>1</v>
      </c>
      <c r="C32" s="39">
        <v>15</v>
      </c>
      <c r="D32" s="39">
        <v>16.5</v>
      </c>
      <c r="E32" s="40">
        <v>21</v>
      </c>
      <c r="F32" s="17">
        <f t="shared" si="0"/>
        <v>4.5</v>
      </c>
      <c r="G32" s="9">
        <f t="shared" si="1"/>
        <v>0.27272727272727271</v>
      </c>
    </row>
    <row r="33" spans="1:13" s="5" customFormat="1" ht="14.5" customHeight="1" thickBot="1" x14ac:dyDescent="0.4">
      <c r="A33" s="28" t="s">
        <v>35</v>
      </c>
      <c r="B33" s="29"/>
      <c r="C33" s="31">
        <f>SUM(C8:C32)</f>
        <v>363.56000000000006</v>
      </c>
      <c r="D33" s="31">
        <f>SUM(D8:D32)</f>
        <v>462.52</v>
      </c>
      <c r="E33" s="31">
        <f>SUM(E8:E32)</f>
        <v>581.62</v>
      </c>
      <c r="F33" s="31">
        <f t="shared" si="0"/>
        <v>119.10000000000002</v>
      </c>
      <c r="G33" s="30">
        <f t="shared" si="1"/>
        <v>0.25750237827553407</v>
      </c>
      <c r="H33" s="27"/>
      <c r="I33" s="27"/>
      <c r="J33" s="27"/>
      <c r="K33" s="27"/>
      <c r="L33" s="27"/>
      <c r="M33" s="27"/>
    </row>
    <row r="34" spans="1:13" s="5" customFormat="1" ht="14.5" customHeight="1" x14ac:dyDescent="0.35">
      <c r="A34" s="43" t="s">
        <v>36</v>
      </c>
      <c r="B34" s="14"/>
      <c r="C34" s="6"/>
      <c r="D34" s="6"/>
      <c r="E34" s="11"/>
      <c r="F34" s="6"/>
      <c r="G34" s="7"/>
      <c r="H34" s="27"/>
      <c r="I34" s="27"/>
      <c r="J34" s="27"/>
      <c r="K34" s="27"/>
      <c r="L34" s="27"/>
      <c r="M34" s="27"/>
    </row>
    <row r="35" spans="1:13" s="5" customFormat="1" ht="14.5" customHeight="1" thickBot="1" x14ac:dyDescent="0.4">
      <c r="A35" s="33" t="s">
        <v>37</v>
      </c>
      <c r="B35" s="14">
        <v>1</v>
      </c>
      <c r="C35" s="41">
        <v>190.32</v>
      </c>
      <c r="D35" s="41">
        <v>200</v>
      </c>
      <c r="E35" s="42">
        <v>239.64</v>
      </c>
      <c r="F35" s="6">
        <f t="shared" ref="F35:F36" si="2">E35-D35</f>
        <v>39.639999999999986</v>
      </c>
      <c r="G35" s="7">
        <f t="shared" ref="G35:G36" si="3">IF(D35=0,"N/A",F35/D35)</f>
        <v>0.19819999999999993</v>
      </c>
      <c r="H35" s="27"/>
      <c r="I35" s="27"/>
      <c r="J35" s="27"/>
      <c r="K35" s="27"/>
      <c r="L35" s="27"/>
      <c r="M35" s="27"/>
    </row>
    <row r="36" spans="1:13" s="5" customFormat="1" ht="14.5" customHeight="1" thickBot="1" x14ac:dyDescent="0.4">
      <c r="A36" s="28" t="s">
        <v>38</v>
      </c>
      <c r="B36" s="29"/>
      <c r="C36" s="31">
        <f>SUM(C35)</f>
        <v>190.32</v>
      </c>
      <c r="D36" s="31">
        <f t="shared" ref="D36:E36" si="4">SUM(D35)</f>
        <v>200</v>
      </c>
      <c r="E36" s="31">
        <f t="shared" si="4"/>
        <v>239.64</v>
      </c>
      <c r="F36" s="31">
        <f t="shared" si="2"/>
        <v>39.639999999999986</v>
      </c>
      <c r="G36" s="30">
        <f t="shared" si="3"/>
        <v>0.19819999999999993</v>
      </c>
      <c r="H36" s="27"/>
      <c r="I36" s="27"/>
      <c r="J36" s="27"/>
      <c r="K36" s="27"/>
      <c r="L36" s="27"/>
      <c r="M36" s="27"/>
    </row>
    <row r="37" spans="1:13" s="5" customFormat="1" ht="14.5" customHeight="1" x14ac:dyDescent="0.35">
      <c r="A37" s="43" t="s">
        <v>39</v>
      </c>
      <c r="B37" s="14"/>
      <c r="C37" s="6"/>
      <c r="D37" s="6"/>
      <c r="E37" s="11"/>
      <c r="F37" s="6"/>
      <c r="G37" s="7"/>
      <c r="H37" s="27"/>
      <c r="I37" s="27"/>
      <c r="J37" s="27"/>
      <c r="K37" s="27"/>
      <c r="L37" s="27"/>
      <c r="M37" s="27"/>
    </row>
    <row r="38" spans="1:13" s="5" customFormat="1" ht="14.5" customHeight="1" x14ac:dyDescent="0.35">
      <c r="A38" s="33" t="s">
        <v>2</v>
      </c>
      <c r="B38" s="35">
        <v>0.57999999999999996</v>
      </c>
      <c r="C38" s="41">
        <f>62.48*B38</f>
        <v>36.238399999999999</v>
      </c>
      <c r="D38" s="41">
        <f>62.5*B38</f>
        <v>36.25</v>
      </c>
      <c r="E38" s="42">
        <f>70*B38</f>
        <v>40.599999999999994</v>
      </c>
      <c r="F38" s="6">
        <f t="shared" ref="F38:F51" si="5">E38-D38</f>
        <v>4.3499999999999943</v>
      </c>
      <c r="G38" s="7">
        <f t="shared" ref="G38:G51" si="6">IF(D38=0,"N/A",F38/D38)</f>
        <v>0.11999999999999984</v>
      </c>
      <c r="H38" s="27"/>
      <c r="I38" s="27"/>
      <c r="J38" s="27"/>
      <c r="K38" s="27"/>
      <c r="L38" s="27"/>
      <c r="M38" s="27"/>
    </row>
    <row r="39" spans="1:13" s="5" customFormat="1" ht="14.5" customHeight="1" x14ac:dyDescent="0.35">
      <c r="A39" s="33" t="s">
        <v>40</v>
      </c>
      <c r="B39" s="35">
        <v>0.62</v>
      </c>
      <c r="C39" s="41">
        <f>30.46*B39</f>
        <v>18.885200000000001</v>
      </c>
      <c r="D39" s="41">
        <f>24.5*B39</f>
        <v>15.19</v>
      </c>
      <c r="E39" s="42">
        <f>24.5*B39</f>
        <v>15.19</v>
      </c>
      <c r="F39" s="6">
        <f t="shared" si="5"/>
        <v>0</v>
      </c>
      <c r="G39" s="7">
        <f t="shared" si="6"/>
        <v>0</v>
      </c>
      <c r="H39" s="27"/>
      <c r="I39" s="27"/>
      <c r="J39" s="27"/>
      <c r="K39" s="27"/>
      <c r="L39" s="27"/>
      <c r="M39" s="27"/>
    </row>
    <row r="40" spans="1:13" s="5" customFormat="1" ht="14.5" customHeight="1" x14ac:dyDescent="0.35">
      <c r="A40" s="33" t="s">
        <v>41</v>
      </c>
      <c r="B40" s="35">
        <v>0.51</v>
      </c>
      <c r="C40" s="41">
        <f>4.97*B40</f>
        <v>2.5347</v>
      </c>
      <c r="D40" s="41">
        <f>6*B40</f>
        <v>3.06</v>
      </c>
      <c r="E40" s="42">
        <f>6*B40</f>
        <v>3.06</v>
      </c>
      <c r="F40" s="6">
        <f t="shared" si="5"/>
        <v>0</v>
      </c>
      <c r="G40" s="7">
        <f t="shared" si="6"/>
        <v>0</v>
      </c>
      <c r="H40" s="27"/>
      <c r="I40" s="27"/>
      <c r="J40" s="27"/>
      <c r="K40" s="27"/>
      <c r="L40" s="27"/>
      <c r="M40" s="27"/>
    </row>
    <row r="41" spans="1:13" s="5" customFormat="1" ht="14.5" customHeight="1" x14ac:dyDescent="0.35">
      <c r="A41" s="33" t="s">
        <v>4</v>
      </c>
      <c r="B41" s="35">
        <v>0.56000000000000005</v>
      </c>
      <c r="C41" s="41">
        <f>95*B41</f>
        <v>53.2</v>
      </c>
      <c r="D41" s="41">
        <f>95*B41</f>
        <v>53.2</v>
      </c>
      <c r="E41" s="42">
        <f>95*B41</f>
        <v>53.2</v>
      </c>
      <c r="F41" s="6">
        <f t="shared" si="5"/>
        <v>0</v>
      </c>
      <c r="G41" s="7">
        <f t="shared" si="6"/>
        <v>0</v>
      </c>
      <c r="H41" s="27"/>
      <c r="I41" s="27"/>
      <c r="J41" s="27"/>
      <c r="K41" s="27"/>
      <c r="L41" s="27"/>
      <c r="M41" s="27"/>
    </row>
    <row r="42" spans="1:13" s="5" customFormat="1" ht="14.5" customHeight="1" x14ac:dyDescent="0.35">
      <c r="A42" s="33" t="s">
        <v>42</v>
      </c>
      <c r="B42" s="15">
        <v>0.62</v>
      </c>
      <c r="C42" s="41">
        <f>66.83*B42</f>
        <v>41.434599999999996</v>
      </c>
      <c r="D42" s="41">
        <f>76.65*B42</f>
        <v>47.523000000000003</v>
      </c>
      <c r="E42" s="42">
        <f>97.02*B42</f>
        <v>60.1524</v>
      </c>
      <c r="F42" s="6">
        <f t="shared" si="5"/>
        <v>12.629399999999997</v>
      </c>
      <c r="G42" s="7">
        <f t="shared" si="6"/>
        <v>0.26575342465753415</v>
      </c>
      <c r="H42" s="27"/>
      <c r="I42" s="27"/>
      <c r="J42" s="27"/>
      <c r="K42" s="27"/>
      <c r="M42" s="27"/>
    </row>
    <row r="43" spans="1:13" s="5" customFormat="1" ht="14.5" customHeight="1" x14ac:dyDescent="0.35">
      <c r="A43" s="33" t="s">
        <v>5</v>
      </c>
      <c r="B43" s="15">
        <v>0.66600000000000004</v>
      </c>
      <c r="C43" s="41">
        <f>284.51*B43</f>
        <v>189.48366000000001</v>
      </c>
      <c r="D43" s="41">
        <f>284.52*B43</f>
        <v>189.49032</v>
      </c>
      <c r="E43" s="42">
        <f>318.52*B43</f>
        <v>212.13432</v>
      </c>
      <c r="F43" s="6">
        <f t="shared" si="5"/>
        <v>22.644000000000005</v>
      </c>
      <c r="G43" s="7">
        <f t="shared" si="6"/>
        <v>0.11949950794320262</v>
      </c>
      <c r="H43" s="27"/>
      <c r="I43" s="27"/>
      <c r="J43" s="27"/>
      <c r="K43" s="27"/>
      <c r="L43" s="27"/>
      <c r="M43" s="27"/>
    </row>
    <row r="44" spans="1:13" s="5" customFormat="1" ht="14.5" customHeight="1" x14ac:dyDescent="0.35">
      <c r="A44" s="33" t="s">
        <v>6</v>
      </c>
      <c r="B44" s="15">
        <v>0.64</v>
      </c>
      <c r="C44" s="41">
        <f>109.54*B44</f>
        <v>70.10560000000001</v>
      </c>
      <c r="D44" s="41">
        <f>111.5*B44</f>
        <v>71.36</v>
      </c>
      <c r="E44" s="42">
        <f>108.6*B44</f>
        <v>69.504000000000005</v>
      </c>
      <c r="F44" s="6">
        <f t="shared" si="5"/>
        <v>-1.8559999999999945</v>
      </c>
      <c r="G44" s="7">
        <f t="shared" si="6"/>
        <v>-2.6008968609865395E-2</v>
      </c>
      <c r="H44" s="27"/>
      <c r="I44" s="27"/>
      <c r="J44" s="27"/>
      <c r="K44" s="27"/>
      <c r="L44" s="27"/>
      <c r="M44" s="27"/>
    </row>
    <row r="45" spans="1:13" s="5" customFormat="1" ht="27" customHeight="1" x14ac:dyDescent="0.35">
      <c r="A45" s="33" t="s">
        <v>54</v>
      </c>
      <c r="B45" s="36">
        <v>0.74</v>
      </c>
      <c r="C45" s="41">
        <f>34.87*B45</f>
        <v>25.803799999999999</v>
      </c>
      <c r="D45" s="41">
        <f>44.25*B45</f>
        <v>32.744999999999997</v>
      </c>
      <c r="E45" s="42">
        <f>40.62*B45</f>
        <v>30.058799999999998</v>
      </c>
      <c r="F45" s="6">
        <f t="shared" si="5"/>
        <v>-2.6861999999999995</v>
      </c>
      <c r="G45" s="7">
        <f t="shared" si="6"/>
        <v>-8.2033898305084743E-2</v>
      </c>
      <c r="H45" s="55"/>
      <c r="I45" s="55"/>
      <c r="J45" s="55"/>
      <c r="K45" s="55"/>
      <c r="L45" s="55"/>
      <c r="M45" s="55"/>
    </row>
    <row r="46" spans="1:13" s="5" customFormat="1" ht="14.5" customHeight="1" x14ac:dyDescent="0.35">
      <c r="A46" s="33" t="s">
        <v>7</v>
      </c>
      <c r="B46" s="15">
        <v>0.54</v>
      </c>
      <c r="C46" s="41">
        <f>11.77*B46</f>
        <v>6.3558000000000003</v>
      </c>
      <c r="D46" s="41">
        <f>12.25*B46</f>
        <v>6.6150000000000002</v>
      </c>
      <c r="E46" s="42">
        <f>12*B46</f>
        <v>6.48</v>
      </c>
      <c r="F46" s="6">
        <f t="shared" si="5"/>
        <v>-0.13499999999999979</v>
      </c>
      <c r="G46" s="7">
        <f t="shared" si="6"/>
        <v>-2.040816326530609E-2</v>
      </c>
      <c r="H46" s="27"/>
      <c r="I46" s="27"/>
      <c r="J46" s="27"/>
      <c r="K46" s="27"/>
      <c r="L46" s="27"/>
      <c r="M46" s="27"/>
    </row>
    <row r="47" spans="1:13" s="5" customFormat="1" ht="27" customHeight="1" x14ac:dyDescent="0.35">
      <c r="A47" s="33" t="s">
        <v>55</v>
      </c>
      <c r="B47" s="36">
        <v>0.72</v>
      </c>
      <c r="C47" s="41">
        <f>8.19*B47</f>
        <v>5.8967999999999998</v>
      </c>
      <c r="D47" s="41">
        <f>6.3*B47</f>
        <v>4.5359999999999996</v>
      </c>
      <c r="E47" s="42">
        <f>7.2*B47</f>
        <v>5.1840000000000002</v>
      </c>
      <c r="F47" s="6">
        <f t="shared" si="5"/>
        <v>0.64800000000000058</v>
      </c>
      <c r="G47" s="7">
        <f t="shared" si="6"/>
        <v>0.14285714285714299</v>
      </c>
      <c r="H47" s="34"/>
      <c r="I47" s="38"/>
      <c r="J47" s="38"/>
      <c r="K47" s="37"/>
      <c r="L47" s="37"/>
      <c r="M47" s="37"/>
    </row>
    <row r="48" spans="1:13" s="5" customFormat="1" ht="27" customHeight="1" x14ac:dyDescent="0.35">
      <c r="A48" s="33" t="s">
        <v>56</v>
      </c>
      <c r="B48" s="36">
        <v>0.61</v>
      </c>
      <c r="C48" s="41">
        <f>98.64*B48</f>
        <v>60.170400000000001</v>
      </c>
      <c r="D48" s="41">
        <f>82.28*B48</f>
        <v>50.190800000000003</v>
      </c>
      <c r="E48" s="42">
        <f>84.54*B48</f>
        <v>51.569400000000002</v>
      </c>
      <c r="F48" s="6">
        <f t="shared" si="5"/>
        <v>1.3785999999999987</v>
      </c>
      <c r="G48" s="7">
        <f t="shared" si="6"/>
        <v>2.746718522119589E-2</v>
      </c>
      <c r="H48" s="27"/>
      <c r="I48" s="37"/>
      <c r="J48" s="37"/>
      <c r="K48" s="37"/>
      <c r="L48" s="37"/>
      <c r="M48" s="37"/>
    </row>
    <row r="49" spans="1:13" s="5" customFormat="1" ht="14.5" customHeight="1" thickBot="1" x14ac:dyDescent="0.4">
      <c r="A49" s="33" t="s">
        <v>8</v>
      </c>
      <c r="B49" s="36">
        <v>0.59</v>
      </c>
      <c r="C49" s="41">
        <f>69.77*B49</f>
        <v>41.164299999999997</v>
      </c>
      <c r="D49" s="41">
        <f>67*B49</f>
        <v>39.53</v>
      </c>
      <c r="E49" s="42">
        <f>67*B49</f>
        <v>39.53</v>
      </c>
      <c r="F49" s="6">
        <f t="shared" si="5"/>
        <v>0</v>
      </c>
      <c r="G49" s="7">
        <f t="shared" si="6"/>
        <v>0</v>
      </c>
      <c r="H49" s="55"/>
      <c r="I49" s="55"/>
      <c r="J49" s="55"/>
      <c r="K49" s="55"/>
      <c r="L49" s="55"/>
      <c r="M49" s="55"/>
    </row>
    <row r="50" spans="1:13" s="5" customFormat="1" ht="14.5" customHeight="1" thickBot="1" x14ac:dyDescent="0.4">
      <c r="A50" s="28" t="s">
        <v>9</v>
      </c>
      <c r="B50" s="29"/>
      <c r="C50" s="31">
        <f>SUM(C38:C49)</f>
        <v>551.27326000000005</v>
      </c>
      <c r="D50" s="31">
        <f>SUM(D38:D49)</f>
        <v>549.69012000000009</v>
      </c>
      <c r="E50" s="31">
        <f>SUM(E38:E49)</f>
        <v>586.6629200000001</v>
      </c>
      <c r="F50" s="31">
        <f t="shared" si="5"/>
        <v>36.972800000000007</v>
      </c>
      <c r="G50" s="30">
        <f t="shared" si="6"/>
        <v>6.7261168892757253E-2</v>
      </c>
      <c r="H50" s="27"/>
      <c r="I50" s="27"/>
      <c r="J50" s="27"/>
      <c r="K50" s="27"/>
      <c r="L50" s="27"/>
      <c r="M50" s="27"/>
    </row>
    <row r="51" spans="1:13" ht="14.5" customHeight="1" thickBot="1" x14ac:dyDescent="0.3">
      <c r="A51" s="44" t="s">
        <v>43</v>
      </c>
      <c r="B51" s="45"/>
      <c r="C51" s="46">
        <f>C33+C36+C50</f>
        <v>1105.15326</v>
      </c>
      <c r="D51" s="46">
        <f t="shared" ref="D51:E51" si="7">D33+D36+D50</f>
        <v>1212.2101200000002</v>
      </c>
      <c r="E51" s="47">
        <f t="shared" si="7"/>
        <v>1407.92292</v>
      </c>
      <c r="F51" s="46">
        <f t="shared" si="5"/>
        <v>195.71279999999979</v>
      </c>
      <c r="G51" s="48">
        <f t="shared" si="6"/>
        <v>0.16145121771463164</v>
      </c>
    </row>
    <row r="52" spans="1:13" ht="27" customHeight="1" x14ac:dyDescent="0.25">
      <c r="A52" s="53" t="s">
        <v>44</v>
      </c>
      <c r="B52" s="53"/>
      <c r="C52" s="53"/>
      <c r="D52" s="53"/>
      <c r="E52" s="53"/>
      <c r="F52" s="53"/>
      <c r="G52" s="53"/>
    </row>
    <row r="53" spans="1:13" ht="27" customHeight="1" x14ac:dyDescent="0.25">
      <c r="A53" s="53" t="s">
        <v>45</v>
      </c>
      <c r="B53" s="53"/>
      <c r="C53" s="53"/>
      <c r="D53" s="53"/>
      <c r="E53" s="53"/>
      <c r="F53" s="53"/>
      <c r="G53" s="53"/>
    </row>
    <row r="54" spans="1:13" ht="27" customHeight="1" x14ac:dyDescent="0.25">
      <c r="A54" s="53" t="s">
        <v>47</v>
      </c>
      <c r="B54" s="53"/>
      <c r="C54" s="53"/>
      <c r="D54" s="53"/>
      <c r="E54" s="53"/>
      <c r="F54" s="53"/>
      <c r="G54" s="53"/>
    </row>
  </sheetData>
  <mergeCells count="17">
    <mergeCell ref="H45:M45"/>
    <mergeCell ref="H49:M49"/>
    <mergeCell ref="A52:G52"/>
    <mergeCell ref="A53:G53"/>
    <mergeCell ref="E5:E6"/>
    <mergeCell ref="F5:G5"/>
    <mergeCell ref="I5:M6"/>
    <mergeCell ref="H9:M9"/>
    <mergeCell ref="H26:M26"/>
    <mergeCell ref="B5:B6"/>
    <mergeCell ref="C5:C6"/>
    <mergeCell ref="D5:D6"/>
    <mergeCell ref="A1:G1"/>
    <mergeCell ref="A2:G2"/>
    <mergeCell ref="A3:G3"/>
    <mergeCell ref="A54:G54"/>
    <mergeCell ref="A4:G4"/>
  </mergeCells>
  <pageMargins left="0.7" right="0.7" top="0.75" bottom="0.75" header="0.3" footer="0.3"/>
  <pageSetup orientation="portrait" r:id="rId1"/>
  <ignoredErrors>
    <ignoredError sqref="F3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FY22 NSF BP</vt:lpstr>
    </vt:vector>
  </TitlesOfParts>
  <Company>National Science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Thomas J</dc:creator>
  <cp:lastModifiedBy>Oxenrider, Clinton J.</cp:lastModifiedBy>
  <dcterms:created xsi:type="dcterms:W3CDTF">2020-01-28T13:15:53Z</dcterms:created>
  <dcterms:modified xsi:type="dcterms:W3CDTF">2021-05-25T18:39:56Z</dcterms:modified>
</cp:coreProperties>
</file>